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10.1.1.10\Divisão de Convenios\2.025\1 Chamamentos\07.2025 - Chamamento Público - Esporte\"/>
    </mc:Choice>
  </mc:AlternateContent>
  <xr:revisionPtr revIDLastSave="0" documentId="13_ncr:1_{6C8572E5-6921-4059-9F88-D443508EDBFB}" xr6:coauthVersionLast="47" xr6:coauthVersionMax="47" xr10:uidLastSave="{00000000-0000-0000-0000-000000000000}"/>
  <bookViews>
    <workbookView xWindow="23880" yWindow="-120" windowWidth="21840" windowHeight="13020" tabRatio="794" xr2:uid="{00000000-000D-0000-FFFF-FFFF00000000}"/>
  </bookViews>
  <sheets>
    <sheet name="00 - Entidade" sheetId="71" r:id="rId1"/>
    <sheet name="01 - Salario" sheetId="1" r:id="rId2"/>
    <sheet name="02 - VA" sheetId="58" r:id="rId3"/>
    <sheet name="03 - VR" sheetId="59" r:id="rId4"/>
    <sheet name="04 - VT" sheetId="60" r:id="rId5"/>
    <sheet name="05 - Assistência Médica" sheetId="63" r:id="rId6"/>
    <sheet name="06 - Assistência Odontológica" sheetId="64" r:id="rId7"/>
    <sheet name="07 - IRPF" sheetId="39" r:id="rId8"/>
    <sheet name="08 - INSS" sheetId="37" r:id="rId9"/>
    <sheet name="09 - FGTS" sheetId="43" r:id="rId10"/>
    <sheet name="10 - INSS Patronal" sheetId="38" r:id="rId11"/>
    <sheet name="11 - PIS" sheetId="40" r:id="rId12"/>
    <sheet name="12 - 13º Salário" sheetId="41" r:id="rId13"/>
    <sheet name="13 - Férias" sheetId="44" r:id="rId14"/>
    <sheet name="14 - Aviso Prévio" sheetId="65" r:id="rId15"/>
    <sheet name="15 - Multa Rescisória FGTS" sheetId="45" r:id="rId16"/>
    <sheet name="16 - Estagiários" sheetId="66" r:id="rId17"/>
    <sheet name="17 - Generos Alimentícios" sheetId="67" r:id="rId18"/>
    <sheet name="18 - Gastos Administrativos" sheetId="48" r:id="rId19"/>
    <sheet name="19 - Serviço de Terceiros" sheetId="49" r:id="rId20"/>
    <sheet name="21 - Materiais" sheetId="69" r:id="rId21"/>
    <sheet name="25 - Diversos" sheetId="52" r:id="rId22"/>
    <sheet name="30 - Total" sheetId="57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7" l="1"/>
  <c r="A1" i="52"/>
  <c r="A1" i="69"/>
  <c r="A1" i="49"/>
  <c r="A1" i="48"/>
  <c r="A1" i="67"/>
  <c r="A1" i="66"/>
  <c r="A1" i="45"/>
  <c r="A1" i="65"/>
  <c r="A1" i="44"/>
  <c r="A1" i="41"/>
  <c r="A1" i="40"/>
  <c r="A1" i="38"/>
  <c r="A1" i="43"/>
  <c r="A1" i="37"/>
  <c r="A1" i="39"/>
  <c r="A1" i="64"/>
  <c r="A1" i="63"/>
  <c r="A1" i="60"/>
  <c r="A1" i="59"/>
  <c r="A1" i="58"/>
  <c r="A1" i="1"/>
  <c r="N24" i="57" l="1"/>
  <c r="M24" i="57"/>
  <c r="L24" i="57"/>
  <c r="K24" i="57"/>
  <c r="J24" i="57"/>
  <c r="I24" i="57"/>
  <c r="H24" i="57"/>
  <c r="G24" i="57"/>
  <c r="F24" i="57"/>
  <c r="E24" i="57"/>
  <c r="D24" i="57"/>
  <c r="C24" i="57"/>
  <c r="K3" i="44"/>
  <c r="K4" i="44"/>
  <c r="K5" i="44"/>
  <c r="K6" i="44"/>
  <c r="K7" i="44"/>
  <c r="K8" i="44"/>
  <c r="K9" i="44"/>
  <c r="K10" i="44"/>
  <c r="K11" i="44"/>
  <c r="K12" i="44"/>
  <c r="K13" i="44"/>
  <c r="K14" i="44"/>
  <c r="K15" i="44"/>
  <c r="N22" i="57"/>
  <c r="M22" i="57"/>
  <c r="L22" i="57"/>
  <c r="K22" i="57"/>
  <c r="J22" i="57"/>
  <c r="I22" i="57"/>
  <c r="H22" i="57"/>
  <c r="G22" i="57"/>
  <c r="F22" i="57"/>
  <c r="E22" i="57"/>
  <c r="D22" i="57"/>
  <c r="N23" i="57"/>
  <c r="M23" i="57"/>
  <c r="L23" i="57"/>
  <c r="K23" i="57"/>
  <c r="J23" i="57"/>
  <c r="I23" i="57"/>
  <c r="H23" i="57"/>
  <c r="G23" i="57"/>
  <c r="F23" i="57"/>
  <c r="E23" i="57"/>
  <c r="D23" i="57"/>
  <c r="C22" i="57"/>
  <c r="C23" i="57"/>
  <c r="D27" i="57"/>
  <c r="E27" i="57"/>
  <c r="F27" i="57"/>
  <c r="G27" i="57"/>
  <c r="H27" i="57"/>
  <c r="I27" i="57"/>
  <c r="J27" i="57"/>
  <c r="K27" i="57"/>
  <c r="L27" i="57"/>
  <c r="M27" i="57"/>
  <c r="N27" i="57"/>
  <c r="C27" i="57"/>
  <c r="N26" i="57"/>
  <c r="M26" i="57"/>
  <c r="L26" i="57"/>
  <c r="K26" i="57"/>
  <c r="J26" i="57"/>
  <c r="I26" i="57"/>
  <c r="H26" i="57"/>
  <c r="G26" i="57"/>
  <c r="F26" i="57"/>
  <c r="E26" i="57"/>
  <c r="D26" i="57"/>
  <c r="N25" i="57"/>
  <c r="M25" i="57"/>
  <c r="L25" i="57"/>
  <c r="K25" i="57"/>
  <c r="J25" i="57"/>
  <c r="I25" i="57"/>
  <c r="H25" i="57"/>
  <c r="G25" i="57"/>
  <c r="F25" i="57"/>
  <c r="E25" i="57"/>
  <c r="D25" i="57"/>
  <c r="C26" i="57"/>
  <c r="C25" i="57"/>
  <c r="O13" i="69"/>
  <c r="N13" i="69"/>
  <c r="M13" i="69"/>
  <c r="L13" i="69"/>
  <c r="K13" i="69"/>
  <c r="J13" i="69"/>
  <c r="I13" i="69"/>
  <c r="H13" i="69"/>
  <c r="G13" i="69"/>
  <c r="F13" i="69"/>
  <c r="E13" i="69"/>
  <c r="D13" i="69"/>
  <c r="P12" i="69"/>
  <c r="A12" i="69"/>
  <c r="P11" i="69"/>
  <c r="A11" i="69"/>
  <c r="P10" i="69"/>
  <c r="A10" i="69"/>
  <c r="P9" i="69"/>
  <c r="A9" i="69"/>
  <c r="P8" i="69"/>
  <c r="A8" i="69"/>
  <c r="P7" i="69"/>
  <c r="A7" i="69"/>
  <c r="P6" i="69"/>
  <c r="A6" i="69"/>
  <c r="P5" i="69"/>
  <c r="A5" i="69"/>
  <c r="P4" i="69"/>
  <c r="A4" i="69"/>
  <c r="P3" i="69"/>
  <c r="A3" i="69"/>
  <c r="N21" i="57"/>
  <c r="M21" i="57"/>
  <c r="L21" i="57"/>
  <c r="K21" i="57"/>
  <c r="J21" i="57"/>
  <c r="I21" i="57"/>
  <c r="H21" i="57"/>
  <c r="G21" i="57"/>
  <c r="F21" i="57"/>
  <c r="E21" i="57"/>
  <c r="D21" i="57"/>
  <c r="C21" i="57"/>
  <c r="D20" i="57"/>
  <c r="E20" i="57"/>
  <c r="F20" i="57"/>
  <c r="G20" i="57"/>
  <c r="H20" i="57"/>
  <c r="I20" i="57"/>
  <c r="J20" i="57"/>
  <c r="K20" i="57"/>
  <c r="L20" i="57"/>
  <c r="M20" i="57"/>
  <c r="N20" i="57"/>
  <c r="C20" i="57"/>
  <c r="C19" i="57"/>
  <c r="N13" i="67"/>
  <c r="M13" i="67"/>
  <c r="L13" i="67"/>
  <c r="K13" i="67"/>
  <c r="J13" i="67"/>
  <c r="I13" i="67"/>
  <c r="H13" i="67"/>
  <c r="G13" i="67"/>
  <c r="F13" i="67"/>
  <c r="E13" i="67"/>
  <c r="D13" i="67"/>
  <c r="C13" i="67"/>
  <c r="O12" i="67"/>
  <c r="A12" i="67"/>
  <c r="O11" i="67"/>
  <c r="A11" i="67"/>
  <c r="O10" i="67"/>
  <c r="A10" i="67"/>
  <c r="O9" i="67"/>
  <c r="A9" i="67"/>
  <c r="O8" i="67"/>
  <c r="A8" i="67"/>
  <c r="O7" i="67"/>
  <c r="A7" i="67"/>
  <c r="O6" i="67"/>
  <c r="A6" i="67"/>
  <c r="O5" i="67"/>
  <c r="A5" i="67"/>
  <c r="O4" i="67"/>
  <c r="A4" i="67"/>
  <c r="O3" i="67"/>
  <c r="A3" i="67"/>
  <c r="N10" i="57"/>
  <c r="M10" i="57"/>
  <c r="O13" i="67" l="1"/>
  <c r="O22" i="57"/>
  <c r="O23" i="57"/>
  <c r="O27" i="57"/>
  <c r="O10" i="57"/>
  <c r="P13" i="69"/>
  <c r="D12" i="57"/>
  <c r="E12" i="57"/>
  <c r="F12" i="57"/>
  <c r="G12" i="57"/>
  <c r="H12" i="57"/>
  <c r="I12" i="57"/>
  <c r="J12" i="57"/>
  <c r="K12" i="57"/>
  <c r="L12" i="57"/>
  <c r="M12" i="57"/>
  <c r="N12" i="57"/>
  <c r="C12" i="57"/>
  <c r="C16" i="57"/>
  <c r="D19" i="57"/>
  <c r="E19" i="57"/>
  <c r="F19" i="57"/>
  <c r="G19" i="57"/>
  <c r="H19" i="57"/>
  <c r="I19" i="57"/>
  <c r="J19" i="57"/>
  <c r="K19" i="57"/>
  <c r="L19" i="57"/>
  <c r="M19" i="57"/>
  <c r="N19" i="57"/>
  <c r="D18" i="57"/>
  <c r="E18" i="57"/>
  <c r="F18" i="57"/>
  <c r="G18" i="57"/>
  <c r="H18" i="57"/>
  <c r="I18" i="57"/>
  <c r="J18" i="57"/>
  <c r="K18" i="57"/>
  <c r="L18" i="57"/>
  <c r="M18" i="57"/>
  <c r="N18" i="57"/>
  <c r="C18" i="57"/>
  <c r="D14" i="57"/>
  <c r="E14" i="57"/>
  <c r="F14" i="57"/>
  <c r="G14" i="57"/>
  <c r="H14" i="57"/>
  <c r="I14" i="57"/>
  <c r="J14" i="57"/>
  <c r="K14" i="57"/>
  <c r="L14" i="57"/>
  <c r="M14" i="57"/>
  <c r="N14" i="57"/>
  <c r="C14" i="57"/>
  <c r="N33" i="66"/>
  <c r="M33" i="66"/>
  <c r="L33" i="66"/>
  <c r="K33" i="66"/>
  <c r="J33" i="66"/>
  <c r="I33" i="66"/>
  <c r="H33" i="66"/>
  <c r="G33" i="66"/>
  <c r="F33" i="66"/>
  <c r="E33" i="66"/>
  <c r="D33" i="66"/>
  <c r="C33" i="66"/>
  <c r="O32" i="66"/>
  <c r="A32" i="66"/>
  <c r="O31" i="66"/>
  <c r="A31" i="66"/>
  <c r="O30" i="66"/>
  <c r="A30" i="66"/>
  <c r="O29" i="66"/>
  <c r="A29" i="66"/>
  <c r="O28" i="66"/>
  <c r="A28" i="66"/>
  <c r="O27" i="66"/>
  <c r="A27" i="66"/>
  <c r="O26" i="66"/>
  <c r="A26" i="66"/>
  <c r="O25" i="66"/>
  <c r="A25" i="66"/>
  <c r="O24" i="66"/>
  <c r="A24" i="66"/>
  <c r="O23" i="66"/>
  <c r="A23" i="66"/>
  <c r="O22" i="66"/>
  <c r="A22" i="66"/>
  <c r="O21" i="66"/>
  <c r="A21" i="66"/>
  <c r="O20" i="66"/>
  <c r="A20" i="66"/>
  <c r="O19" i="66"/>
  <c r="A19" i="66"/>
  <c r="O18" i="66"/>
  <c r="A18" i="66"/>
  <c r="O17" i="66"/>
  <c r="A17" i="66"/>
  <c r="O16" i="66"/>
  <c r="A16" i="66"/>
  <c r="O15" i="66"/>
  <c r="A15" i="66"/>
  <c r="O14" i="66"/>
  <c r="A14" i="66"/>
  <c r="O13" i="66"/>
  <c r="A13" i="66"/>
  <c r="O12" i="66"/>
  <c r="A12" i="66"/>
  <c r="O11" i="66"/>
  <c r="A11" i="66"/>
  <c r="O10" i="66"/>
  <c r="A10" i="66"/>
  <c r="O9" i="66"/>
  <c r="A9" i="66"/>
  <c r="O8" i="66"/>
  <c r="A8" i="66"/>
  <c r="O7" i="66"/>
  <c r="A7" i="66"/>
  <c r="O6" i="66"/>
  <c r="A6" i="66"/>
  <c r="O5" i="66"/>
  <c r="A5" i="66"/>
  <c r="O4" i="66"/>
  <c r="A4" i="66"/>
  <c r="O3" i="66"/>
  <c r="A3" i="66"/>
  <c r="O33" i="65"/>
  <c r="N33" i="65"/>
  <c r="M33" i="65"/>
  <c r="L33" i="65"/>
  <c r="K33" i="65"/>
  <c r="J33" i="65"/>
  <c r="I33" i="65"/>
  <c r="H33" i="65"/>
  <c r="G33" i="65"/>
  <c r="F33" i="65"/>
  <c r="E33" i="65"/>
  <c r="D33" i="65"/>
  <c r="P32" i="65"/>
  <c r="C32" i="65"/>
  <c r="B32" i="65"/>
  <c r="A32" i="65"/>
  <c r="P31" i="65"/>
  <c r="C31" i="65"/>
  <c r="B31" i="65"/>
  <c r="A31" i="65"/>
  <c r="P30" i="65"/>
  <c r="C30" i="65"/>
  <c r="B30" i="65"/>
  <c r="A30" i="65"/>
  <c r="P29" i="65"/>
  <c r="C29" i="65"/>
  <c r="B29" i="65"/>
  <c r="A29" i="65"/>
  <c r="P28" i="65"/>
  <c r="C28" i="65"/>
  <c r="B28" i="65"/>
  <c r="A28" i="65"/>
  <c r="P27" i="65"/>
  <c r="C27" i="65"/>
  <c r="B27" i="65"/>
  <c r="A27" i="65"/>
  <c r="P26" i="65"/>
  <c r="C26" i="65"/>
  <c r="B26" i="65"/>
  <c r="A26" i="65"/>
  <c r="P25" i="65"/>
  <c r="C25" i="65"/>
  <c r="B25" i="65"/>
  <c r="A25" i="65"/>
  <c r="P24" i="65"/>
  <c r="C24" i="65"/>
  <c r="B24" i="65"/>
  <c r="A24" i="65"/>
  <c r="P23" i="65"/>
  <c r="C23" i="65"/>
  <c r="B23" i="65"/>
  <c r="A23" i="65"/>
  <c r="P22" i="65"/>
  <c r="C22" i="65"/>
  <c r="B22" i="65"/>
  <c r="A22" i="65"/>
  <c r="P21" i="65"/>
  <c r="C21" i="65"/>
  <c r="B21" i="65"/>
  <c r="A21" i="65"/>
  <c r="P20" i="65"/>
  <c r="C20" i="65"/>
  <c r="B20" i="65"/>
  <c r="A20" i="65"/>
  <c r="P19" i="65"/>
  <c r="C19" i="65"/>
  <c r="B19" i="65"/>
  <c r="A19" i="65"/>
  <c r="P18" i="65"/>
  <c r="C18" i="65"/>
  <c r="B18" i="65"/>
  <c r="A18" i="65"/>
  <c r="P17" i="65"/>
  <c r="C17" i="65"/>
  <c r="B17" i="65"/>
  <c r="A17" i="65"/>
  <c r="P16" i="65"/>
  <c r="C16" i="65"/>
  <c r="B16" i="65"/>
  <c r="A16" i="65"/>
  <c r="P15" i="65"/>
  <c r="C15" i="65"/>
  <c r="B15" i="65"/>
  <c r="A15" i="65"/>
  <c r="P14" i="65"/>
  <c r="C14" i="65"/>
  <c r="B14" i="65"/>
  <c r="A14" i="65"/>
  <c r="P13" i="65"/>
  <c r="C13" i="65"/>
  <c r="B13" i="65"/>
  <c r="A13" i="65"/>
  <c r="P12" i="65"/>
  <c r="C12" i="65"/>
  <c r="B12" i="65"/>
  <c r="A12" i="65"/>
  <c r="P11" i="65"/>
  <c r="C11" i="65"/>
  <c r="B11" i="65"/>
  <c r="A11" i="65"/>
  <c r="P10" i="65"/>
  <c r="C10" i="65"/>
  <c r="B10" i="65"/>
  <c r="A10" i="65"/>
  <c r="P9" i="65"/>
  <c r="C9" i="65"/>
  <c r="B9" i="65"/>
  <c r="A9" i="65"/>
  <c r="P8" i="65"/>
  <c r="C8" i="65"/>
  <c r="B8" i="65"/>
  <c r="A8" i="65"/>
  <c r="P7" i="65"/>
  <c r="C7" i="65"/>
  <c r="B7" i="65"/>
  <c r="A7" i="65"/>
  <c r="P6" i="65"/>
  <c r="C6" i="65"/>
  <c r="B6" i="65"/>
  <c r="A6" i="65"/>
  <c r="P5" i="65"/>
  <c r="C5" i="65"/>
  <c r="B5" i="65"/>
  <c r="A5" i="65"/>
  <c r="P4" i="65"/>
  <c r="C4" i="65"/>
  <c r="B4" i="65"/>
  <c r="A4" i="65"/>
  <c r="P3" i="65"/>
  <c r="P33" i="65" s="1"/>
  <c r="C3" i="65"/>
  <c r="B3" i="65"/>
  <c r="A3" i="65"/>
  <c r="O33" i="64"/>
  <c r="N33" i="64"/>
  <c r="M33" i="64"/>
  <c r="L33" i="64"/>
  <c r="K33" i="64"/>
  <c r="J33" i="64"/>
  <c r="I33" i="64"/>
  <c r="H33" i="64"/>
  <c r="G33" i="64"/>
  <c r="F33" i="64"/>
  <c r="E33" i="64"/>
  <c r="D33" i="64"/>
  <c r="P32" i="64"/>
  <c r="C32" i="64"/>
  <c r="B32" i="64"/>
  <c r="A32" i="64"/>
  <c r="P31" i="64"/>
  <c r="C31" i="64"/>
  <c r="B31" i="64"/>
  <c r="A31" i="64"/>
  <c r="P30" i="64"/>
  <c r="C30" i="64"/>
  <c r="B30" i="64"/>
  <c r="A30" i="64"/>
  <c r="P29" i="64"/>
  <c r="C29" i="64"/>
  <c r="B29" i="64"/>
  <c r="A29" i="64"/>
  <c r="P28" i="64"/>
  <c r="C28" i="64"/>
  <c r="B28" i="64"/>
  <c r="A28" i="64"/>
  <c r="P27" i="64"/>
  <c r="C27" i="64"/>
  <c r="B27" i="64"/>
  <c r="A27" i="64"/>
  <c r="P26" i="64"/>
  <c r="C26" i="64"/>
  <c r="B26" i="64"/>
  <c r="A26" i="64"/>
  <c r="P25" i="64"/>
  <c r="C25" i="64"/>
  <c r="B25" i="64"/>
  <c r="A25" i="64"/>
  <c r="P24" i="64"/>
  <c r="C24" i="64"/>
  <c r="B24" i="64"/>
  <c r="A24" i="64"/>
  <c r="P23" i="64"/>
  <c r="C23" i="64"/>
  <c r="B23" i="64"/>
  <c r="A23" i="64"/>
  <c r="P22" i="64"/>
  <c r="C22" i="64"/>
  <c r="B22" i="64"/>
  <c r="A22" i="64"/>
  <c r="P21" i="64"/>
  <c r="C21" i="64"/>
  <c r="B21" i="64"/>
  <c r="A21" i="64"/>
  <c r="P20" i="64"/>
  <c r="C20" i="64"/>
  <c r="B20" i="64"/>
  <c r="A20" i="64"/>
  <c r="P19" i="64"/>
  <c r="C19" i="64"/>
  <c r="B19" i="64"/>
  <c r="A19" i="64"/>
  <c r="P18" i="64"/>
  <c r="C18" i="64"/>
  <c r="B18" i="64"/>
  <c r="A18" i="64"/>
  <c r="P17" i="64"/>
  <c r="C17" i="64"/>
  <c r="B17" i="64"/>
  <c r="A17" i="64"/>
  <c r="P16" i="64"/>
  <c r="C16" i="64"/>
  <c r="B16" i="64"/>
  <c r="A16" i="64"/>
  <c r="P15" i="64"/>
  <c r="C15" i="64"/>
  <c r="B15" i="64"/>
  <c r="A15" i="64"/>
  <c r="P14" i="64"/>
  <c r="C14" i="64"/>
  <c r="B14" i="64"/>
  <c r="A14" i="64"/>
  <c r="P13" i="64"/>
  <c r="C13" i="64"/>
  <c r="B13" i="64"/>
  <c r="A13" i="64"/>
  <c r="P12" i="64"/>
  <c r="C12" i="64"/>
  <c r="B12" i="64"/>
  <c r="A12" i="64"/>
  <c r="P11" i="64"/>
  <c r="C11" i="64"/>
  <c r="B11" i="64"/>
  <c r="A11" i="64"/>
  <c r="P10" i="64"/>
  <c r="C10" i="64"/>
  <c r="B10" i="64"/>
  <c r="A10" i="64"/>
  <c r="P9" i="64"/>
  <c r="C9" i="64"/>
  <c r="B9" i="64"/>
  <c r="A9" i="64"/>
  <c r="P8" i="64"/>
  <c r="C8" i="64"/>
  <c r="B8" i="64"/>
  <c r="A8" i="64"/>
  <c r="P7" i="64"/>
  <c r="C7" i="64"/>
  <c r="B7" i="64"/>
  <c r="A7" i="64"/>
  <c r="P6" i="64"/>
  <c r="C6" i="64"/>
  <c r="B6" i="64"/>
  <c r="A6" i="64"/>
  <c r="P5" i="64"/>
  <c r="C5" i="64"/>
  <c r="B5" i="64"/>
  <c r="A5" i="64"/>
  <c r="P4" i="64"/>
  <c r="C4" i="64"/>
  <c r="B4" i="64"/>
  <c r="A4" i="64"/>
  <c r="P3" i="64"/>
  <c r="P33" i="64" s="1"/>
  <c r="C3" i="64"/>
  <c r="B3" i="64"/>
  <c r="A3" i="64"/>
  <c r="P3" i="63"/>
  <c r="O33" i="63"/>
  <c r="N33" i="63"/>
  <c r="M33" i="63"/>
  <c r="L33" i="63"/>
  <c r="K33" i="63"/>
  <c r="J33" i="63"/>
  <c r="I33" i="63"/>
  <c r="H33" i="63"/>
  <c r="G33" i="63"/>
  <c r="F33" i="63"/>
  <c r="E33" i="63"/>
  <c r="D33" i="63"/>
  <c r="P32" i="63"/>
  <c r="C32" i="63"/>
  <c r="B32" i="63"/>
  <c r="A32" i="63"/>
  <c r="P31" i="63"/>
  <c r="C31" i="63"/>
  <c r="B31" i="63"/>
  <c r="A31" i="63"/>
  <c r="P30" i="63"/>
  <c r="C30" i="63"/>
  <c r="B30" i="63"/>
  <c r="A30" i="63"/>
  <c r="P29" i="63"/>
  <c r="C29" i="63"/>
  <c r="B29" i="63"/>
  <c r="A29" i="63"/>
  <c r="P28" i="63"/>
  <c r="C28" i="63"/>
  <c r="B28" i="63"/>
  <c r="A28" i="63"/>
  <c r="P27" i="63"/>
  <c r="C27" i="63"/>
  <c r="B27" i="63"/>
  <c r="A27" i="63"/>
  <c r="P26" i="63"/>
  <c r="C26" i="63"/>
  <c r="B26" i="63"/>
  <c r="A26" i="63"/>
  <c r="P25" i="63"/>
  <c r="C25" i="63"/>
  <c r="B25" i="63"/>
  <c r="A25" i="63"/>
  <c r="P24" i="63"/>
  <c r="C24" i="63"/>
  <c r="B24" i="63"/>
  <c r="A24" i="63"/>
  <c r="P23" i="63"/>
  <c r="C23" i="63"/>
  <c r="B23" i="63"/>
  <c r="A23" i="63"/>
  <c r="P22" i="63"/>
  <c r="C22" i="63"/>
  <c r="B22" i="63"/>
  <c r="A22" i="63"/>
  <c r="P21" i="63"/>
  <c r="C21" i="63"/>
  <c r="B21" i="63"/>
  <c r="A21" i="63"/>
  <c r="P20" i="63"/>
  <c r="C20" i="63"/>
  <c r="B20" i="63"/>
  <c r="A20" i="63"/>
  <c r="P19" i="63"/>
  <c r="C19" i="63"/>
  <c r="B19" i="63"/>
  <c r="A19" i="63"/>
  <c r="P18" i="63"/>
  <c r="C18" i="63"/>
  <c r="B18" i="63"/>
  <c r="A18" i="63"/>
  <c r="P17" i="63"/>
  <c r="C17" i="63"/>
  <c r="B17" i="63"/>
  <c r="A17" i="63"/>
  <c r="P16" i="63"/>
  <c r="C16" i="63"/>
  <c r="B16" i="63"/>
  <c r="A16" i="63"/>
  <c r="P15" i="63"/>
  <c r="C15" i="63"/>
  <c r="B15" i="63"/>
  <c r="A15" i="63"/>
  <c r="P14" i="63"/>
  <c r="C14" i="63"/>
  <c r="B14" i="63"/>
  <c r="A14" i="63"/>
  <c r="P13" i="63"/>
  <c r="C13" i="63"/>
  <c r="B13" i="63"/>
  <c r="A13" i="63"/>
  <c r="P12" i="63"/>
  <c r="C12" i="63"/>
  <c r="B12" i="63"/>
  <c r="A12" i="63"/>
  <c r="P11" i="63"/>
  <c r="C11" i="63"/>
  <c r="B11" i="63"/>
  <c r="A11" i="63"/>
  <c r="P10" i="63"/>
  <c r="C10" i="63"/>
  <c r="B10" i="63"/>
  <c r="A10" i="63"/>
  <c r="P9" i="63"/>
  <c r="C9" i="63"/>
  <c r="B9" i="63"/>
  <c r="A9" i="63"/>
  <c r="P8" i="63"/>
  <c r="C8" i="63"/>
  <c r="B8" i="63"/>
  <c r="A8" i="63"/>
  <c r="P7" i="63"/>
  <c r="C7" i="63"/>
  <c r="B7" i="63"/>
  <c r="A7" i="63"/>
  <c r="P6" i="63"/>
  <c r="C6" i="63"/>
  <c r="B6" i="63"/>
  <c r="A6" i="63"/>
  <c r="P5" i="63"/>
  <c r="C5" i="63"/>
  <c r="B5" i="63"/>
  <c r="A5" i="63"/>
  <c r="P4" i="63"/>
  <c r="C4" i="63"/>
  <c r="B4" i="63"/>
  <c r="A4" i="63"/>
  <c r="C3" i="63"/>
  <c r="B3" i="63"/>
  <c r="A3" i="63"/>
  <c r="E33" i="1"/>
  <c r="F33" i="1"/>
  <c r="G33" i="1"/>
  <c r="H33" i="1"/>
  <c r="I33" i="1"/>
  <c r="J33" i="1"/>
  <c r="K33" i="1"/>
  <c r="L33" i="1"/>
  <c r="M33" i="1"/>
  <c r="N33" i="1"/>
  <c r="O33" i="1"/>
  <c r="D33" i="1"/>
  <c r="E33" i="58"/>
  <c r="F33" i="58"/>
  <c r="G33" i="58"/>
  <c r="H33" i="58"/>
  <c r="I33" i="58"/>
  <c r="J33" i="58"/>
  <c r="K33" i="58"/>
  <c r="L33" i="58"/>
  <c r="M33" i="58"/>
  <c r="N33" i="58"/>
  <c r="O33" i="58"/>
  <c r="D33" i="58"/>
  <c r="E33" i="59"/>
  <c r="F33" i="59"/>
  <c r="G33" i="59"/>
  <c r="H33" i="59"/>
  <c r="I33" i="59"/>
  <c r="J33" i="59"/>
  <c r="K33" i="59"/>
  <c r="L33" i="59"/>
  <c r="M33" i="59"/>
  <c r="N33" i="59"/>
  <c r="O33" i="59"/>
  <c r="D33" i="59"/>
  <c r="E33" i="60"/>
  <c r="F33" i="60"/>
  <c r="G33" i="60"/>
  <c r="H33" i="60"/>
  <c r="I33" i="60"/>
  <c r="J33" i="60"/>
  <c r="K33" i="60"/>
  <c r="L33" i="60"/>
  <c r="M33" i="60"/>
  <c r="N33" i="60"/>
  <c r="O33" i="60"/>
  <c r="D33" i="60"/>
  <c r="E33" i="39"/>
  <c r="F33" i="39"/>
  <c r="G33" i="39"/>
  <c r="H33" i="39"/>
  <c r="I33" i="39"/>
  <c r="J33" i="39"/>
  <c r="K33" i="39"/>
  <c r="L33" i="39"/>
  <c r="M33" i="39"/>
  <c r="N33" i="39"/>
  <c r="O33" i="39"/>
  <c r="D33" i="39"/>
  <c r="E33" i="37"/>
  <c r="F33" i="37"/>
  <c r="G33" i="37"/>
  <c r="H33" i="37"/>
  <c r="I33" i="37"/>
  <c r="J33" i="37"/>
  <c r="K33" i="37"/>
  <c r="L33" i="37"/>
  <c r="M33" i="37"/>
  <c r="N33" i="37"/>
  <c r="O33" i="37"/>
  <c r="D33" i="37"/>
  <c r="F33" i="43"/>
  <c r="G33" i="43"/>
  <c r="H33" i="43"/>
  <c r="I33" i="43"/>
  <c r="J33" i="43"/>
  <c r="K33" i="43"/>
  <c r="L33" i="43"/>
  <c r="M33" i="43"/>
  <c r="N33" i="43"/>
  <c r="O33" i="43"/>
  <c r="P33" i="43"/>
  <c r="E33" i="43"/>
  <c r="F33" i="38"/>
  <c r="G33" i="38"/>
  <c r="H33" i="38"/>
  <c r="I33" i="38"/>
  <c r="J33" i="38"/>
  <c r="K33" i="38"/>
  <c r="L33" i="38"/>
  <c r="M33" i="38"/>
  <c r="N33" i="38"/>
  <c r="O33" i="38"/>
  <c r="P33" i="38"/>
  <c r="E33" i="38"/>
  <c r="F33" i="40"/>
  <c r="G33" i="40"/>
  <c r="H33" i="40"/>
  <c r="I33" i="40"/>
  <c r="J33" i="40"/>
  <c r="K33" i="40"/>
  <c r="L33" i="40"/>
  <c r="M33" i="40"/>
  <c r="N33" i="40"/>
  <c r="O33" i="40"/>
  <c r="P33" i="40"/>
  <c r="E33" i="40"/>
  <c r="J33" i="41"/>
  <c r="I33" i="41"/>
  <c r="H33" i="41"/>
  <c r="G33" i="41"/>
  <c r="F33" i="41"/>
  <c r="E33" i="41"/>
  <c r="D33" i="41"/>
  <c r="J33" i="44"/>
  <c r="I33" i="44"/>
  <c r="H33" i="44"/>
  <c r="G33" i="44"/>
  <c r="F33" i="44"/>
  <c r="D33" i="44"/>
  <c r="E33" i="45"/>
  <c r="F33" i="45"/>
  <c r="G33" i="45"/>
  <c r="H33" i="45"/>
  <c r="I33" i="45"/>
  <c r="J33" i="45"/>
  <c r="K33" i="45"/>
  <c r="L33" i="45"/>
  <c r="M33" i="45"/>
  <c r="N33" i="45"/>
  <c r="O33" i="45"/>
  <c r="D33" i="45"/>
  <c r="E13" i="48"/>
  <c r="F13" i="48"/>
  <c r="G13" i="48"/>
  <c r="H13" i="48"/>
  <c r="I13" i="48"/>
  <c r="J13" i="48"/>
  <c r="K13" i="48"/>
  <c r="L13" i="48"/>
  <c r="M13" i="48"/>
  <c r="N13" i="48"/>
  <c r="O13" i="48"/>
  <c r="D13" i="48"/>
  <c r="E13" i="49"/>
  <c r="F13" i="49"/>
  <c r="G13" i="49"/>
  <c r="H13" i="49"/>
  <c r="I13" i="49"/>
  <c r="J13" i="49"/>
  <c r="K13" i="49"/>
  <c r="L13" i="49"/>
  <c r="M13" i="49"/>
  <c r="N13" i="49"/>
  <c r="O13" i="49"/>
  <c r="D13" i="49"/>
  <c r="D13" i="52"/>
  <c r="E13" i="52"/>
  <c r="F13" i="52"/>
  <c r="G13" i="52"/>
  <c r="H13" i="52"/>
  <c r="I13" i="52"/>
  <c r="J13" i="52"/>
  <c r="K13" i="52"/>
  <c r="L13" i="52"/>
  <c r="M13" i="52"/>
  <c r="N13" i="52"/>
  <c r="C13" i="52"/>
  <c r="G9" i="57"/>
  <c r="C9" i="57"/>
  <c r="D9" i="57"/>
  <c r="E9" i="57"/>
  <c r="F9" i="57"/>
  <c r="H9" i="57"/>
  <c r="I9" i="57"/>
  <c r="J9" i="57"/>
  <c r="K9" i="57"/>
  <c r="L9" i="57"/>
  <c r="M9" i="57"/>
  <c r="N9" i="57"/>
  <c r="N8" i="57"/>
  <c r="M8" i="57"/>
  <c r="L8" i="57"/>
  <c r="K8" i="57"/>
  <c r="J8" i="57"/>
  <c r="I8" i="57"/>
  <c r="H8" i="57"/>
  <c r="G8" i="57"/>
  <c r="F8" i="57"/>
  <c r="E8" i="57"/>
  <c r="D8" i="57"/>
  <c r="C8" i="57"/>
  <c r="N7" i="57"/>
  <c r="M7" i="57"/>
  <c r="L7" i="57"/>
  <c r="K7" i="57"/>
  <c r="J7" i="57"/>
  <c r="I7" i="57"/>
  <c r="H7" i="57"/>
  <c r="G7" i="57"/>
  <c r="F7" i="57"/>
  <c r="E7" i="57"/>
  <c r="D7" i="57"/>
  <c r="C7" i="57"/>
  <c r="M5" i="57"/>
  <c r="C5" i="57"/>
  <c r="N5" i="57"/>
  <c r="L5" i="57"/>
  <c r="K5" i="57"/>
  <c r="J5" i="57"/>
  <c r="I5" i="57"/>
  <c r="H5" i="57"/>
  <c r="G5" i="57"/>
  <c r="F5" i="57"/>
  <c r="E5" i="57"/>
  <c r="D5" i="57"/>
  <c r="N6" i="57"/>
  <c r="M6" i="57"/>
  <c r="L6" i="57"/>
  <c r="K6" i="57"/>
  <c r="J6" i="57"/>
  <c r="I6" i="57"/>
  <c r="H6" i="57"/>
  <c r="G6" i="57"/>
  <c r="F6" i="57"/>
  <c r="E6" i="57"/>
  <c r="D6" i="57"/>
  <c r="C6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O33" i="66" l="1"/>
  <c r="P33" i="63"/>
  <c r="O18" i="57"/>
  <c r="O12" i="57"/>
  <c r="O19" i="57"/>
  <c r="O6" i="57"/>
  <c r="O5" i="57"/>
  <c r="D15" i="57"/>
  <c r="E15" i="57"/>
  <c r="F15" i="57"/>
  <c r="G15" i="57"/>
  <c r="H15" i="57"/>
  <c r="I15" i="57"/>
  <c r="J15" i="57"/>
  <c r="K15" i="57"/>
  <c r="L15" i="57"/>
  <c r="M15" i="57"/>
  <c r="N15" i="57"/>
  <c r="D16" i="57"/>
  <c r="E16" i="57"/>
  <c r="F16" i="57"/>
  <c r="G16" i="57"/>
  <c r="H16" i="57"/>
  <c r="I16" i="57"/>
  <c r="J16" i="57"/>
  <c r="K16" i="57"/>
  <c r="L16" i="57"/>
  <c r="M16" i="57"/>
  <c r="N16" i="57"/>
  <c r="D17" i="57"/>
  <c r="E17" i="57"/>
  <c r="F17" i="57"/>
  <c r="G17" i="57"/>
  <c r="H17" i="57"/>
  <c r="I17" i="57"/>
  <c r="J17" i="57"/>
  <c r="K17" i="57"/>
  <c r="L17" i="57"/>
  <c r="M17" i="57"/>
  <c r="N17" i="57"/>
  <c r="C17" i="57"/>
  <c r="C15" i="57"/>
  <c r="P32" i="60"/>
  <c r="C32" i="60"/>
  <c r="B32" i="60"/>
  <c r="A32" i="60"/>
  <c r="P31" i="60"/>
  <c r="C31" i="60"/>
  <c r="B31" i="60"/>
  <c r="A31" i="60"/>
  <c r="P30" i="60"/>
  <c r="C30" i="60"/>
  <c r="B30" i="60"/>
  <c r="A30" i="60"/>
  <c r="P29" i="60"/>
  <c r="C29" i="60"/>
  <c r="B29" i="60"/>
  <c r="A29" i="60"/>
  <c r="P28" i="60"/>
  <c r="C28" i="60"/>
  <c r="B28" i="60"/>
  <c r="A28" i="60"/>
  <c r="P27" i="60"/>
  <c r="C27" i="60"/>
  <c r="B27" i="60"/>
  <c r="A27" i="60"/>
  <c r="P26" i="60"/>
  <c r="C26" i="60"/>
  <c r="B26" i="60"/>
  <c r="A26" i="60"/>
  <c r="P25" i="60"/>
  <c r="C25" i="60"/>
  <c r="B25" i="60"/>
  <c r="A25" i="60"/>
  <c r="P24" i="60"/>
  <c r="C24" i="60"/>
  <c r="B24" i="60"/>
  <c r="A24" i="60"/>
  <c r="P23" i="60"/>
  <c r="C23" i="60"/>
  <c r="B23" i="60"/>
  <c r="A23" i="60"/>
  <c r="P22" i="60"/>
  <c r="C22" i="60"/>
  <c r="B22" i="60"/>
  <c r="A22" i="60"/>
  <c r="P21" i="60"/>
  <c r="C21" i="60"/>
  <c r="B21" i="60"/>
  <c r="A21" i="60"/>
  <c r="P20" i="60"/>
  <c r="C20" i="60"/>
  <c r="B20" i="60"/>
  <c r="A20" i="60"/>
  <c r="P19" i="60"/>
  <c r="C19" i="60"/>
  <c r="B19" i="60"/>
  <c r="A19" i="60"/>
  <c r="P18" i="60"/>
  <c r="C18" i="60"/>
  <c r="B18" i="60"/>
  <c r="A18" i="60"/>
  <c r="P17" i="60"/>
  <c r="C17" i="60"/>
  <c r="B17" i="60"/>
  <c r="A17" i="60"/>
  <c r="P16" i="60"/>
  <c r="C16" i="60"/>
  <c r="B16" i="60"/>
  <c r="A16" i="60"/>
  <c r="P15" i="60"/>
  <c r="C15" i="60"/>
  <c r="B15" i="60"/>
  <c r="A15" i="60"/>
  <c r="P14" i="60"/>
  <c r="C14" i="60"/>
  <c r="B14" i="60"/>
  <c r="A14" i="60"/>
  <c r="P13" i="60"/>
  <c r="C13" i="60"/>
  <c r="B13" i="60"/>
  <c r="A13" i="60"/>
  <c r="P12" i="60"/>
  <c r="C12" i="60"/>
  <c r="B12" i="60"/>
  <c r="A12" i="60"/>
  <c r="P11" i="60"/>
  <c r="C11" i="60"/>
  <c r="B11" i="60"/>
  <c r="A11" i="60"/>
  <c r="P10" i="60"/>
  <c r="C10" i="60"/>
  <c r="B10" i="60"/>
  <c r="A10" i="60"/>
  <c r="P9" i="60"/>
  <c r="C9" i="60"/>
  <c r="B9" i="60"/>
  <c r="A9" i="60"/>
  <c r="P8" i="60"/>
  <c r="C8" i="60"/>
  <c r="B8" i="60"/>
  <c r="A8" i="60"/>
  <c r="P7" i="60"/>
  <c r="C7" i="60"/>
  <c r="B7" i="60"/>
  <c r="A7" i="60"/>
  <c r="P6" i="60"/>
  <c r="C6" i="60"/>
  <c r="B6" i="60"/>
  <c r="A6" i="60"/>
  <c r="P5" i="60"/>
  <c r="C5" i="60"/>
  <c r="B5" i="60"/>
  <c r="A5" i="60"/>
  <c r="P4" i="60"/>
  <c r="C4" i="60"/>
  <c r="B4" i="60"/>
  <c r="A4" i="60"/>
  <c r="P3" i="60"/>
  <c r="C3" i="60"/>
  <c r="B3" i="60"/>
  <c r="A3" i="60"/>
  <c r="P32" i="59"/>
  <c r="C32" i="59"/>
  <c r="B32" i="59"/>
  <c r="A32" i="59"/>
  <c r="P31" i="59"/>
  <c r="C31" i="59"/>
  <c r="B31" i="59"/>
  <c r="A31" i="59"/>
  <c r="P30" i="59"/>
  <c r="C30" i="59"/>
  <c r="B30" i="59"/>
  <c r="A30" i="59"/>
  <c r="P29" i="59"/>
  <c r="C29" i="59"/>
  <c r="B29" i="59"/>
  <c r="A29" i="59"/>
  <c r="P28" i="59"/>
  <c r="C28" i="59"/>
  <c r="B28" i="59"/>
  <c r="A28" i="59"/>
  <c r="P27" i="59"/>
  <c r="C27" i="59"/>
  <c r="B27" i="59"/>
  <c r="A27" i="59"/>
  <c r="P26" i="59"/>
  <c r="C26" i="59"/>
  <c r="B26" i="59"/>
  <c r="A26" i="59"/>
  <c r="P25" i="59"/>
  <c r="C25" i="59"/>
  <c r="B25" i="59"/>
  <c r="A25" i="59"/>
  <c r="P24" i="59"/>
  <c r="C24" i="59"/>
  <c r="B24" i="59"/>
  <c r="A24" i="59"/>
  <c r="P23" i="59"/>
  <c r="C23" i="59"/>
  <c r="B23" i="59"/>
  <c r="A23" i="59"/>
  <c r="P22" i="59"/>
  <c r="C22" i="59"/>
  <c r="B22" i="59"/>
  <c r="A22" i="59"/>
  <c r="P21" i="59"/>
  <c r="C21" i="59"/>
  <c r="B21" i="59"/>
  <c r="A21" i="59"/>
  <c r="P20" i="59"/>
  <c r="C20" i="59"/>
  <c r="B20" i="59"/>
  <c r="A20" i="59"/>
  <c r="P19" i="59"/>
  <c r="C19" i="59"/>
  <c r="B19" i="59"/>
  <c r="A19" i="59"/>
  <c r="P18" i="59"/>
  <c r="C18" i="59"/>
  <c r="B18" i="59"/>
  <c r="A18" i="59"/>
  <c r="P17" i="59"/>
  <c r="C17" i="59"/>
  <c r="B17" i="59"/>
  <c r="A17" i="59"/>
  <c r="P16" i="59"/>
  <c r="C16" i="59"/>
  <c r="B16" i="59"/>
  <c r="A16" i="59"/>
  <c r="P15" i="59"/>
  <c r="C15" i="59"/>
  <c r="B15" i="59"/>
  <c r="A15" i="59"/>
  <c r="P14" i="59"/>
  <c r="C14" i="59"/>
  <c r="B14" i="59"/>
  <c r="A14" i="59"/>
  <c r="P13" i="59"/>
  <c r="C13" i="59"/>
  <c r="B13" i="59"/>
  <c r="A13" i="59"/>
  <c r="P12" i="59"/>
  <c r="C12" i="59"/>
  <c r="B12" i="59"/>
  <c r="A12" i="59"/>
  <c r="P11" i="59"/>
  <c r="C11" i="59"/>
  <c r="B11" i="59"/>
  <c r="A11" i="59"/>
  <c r="P10" i="59"/>
  <c r="C10" i="59"/>
  <c r="B10" i="59"/>
  <c r="A10" i="59"/>
  <c r="P9" i="59"/>
  <c r="C9" i="59"/>
  <c r="B9" i="59"/>
  <c r="A9" i="59"/>
  <c r="P8" i="59"/>
  <c r="C8" i="59"/>
  <c r="B8" i="59"/>
  <c r="A8" i="59"/>
  <c r="P7" i="59"/>
  <c r="C7" i="59"/>
  <c r="B7" i="59"/>
  <c r="A7" i="59"/>
  <c r="P6" i="59"/>
  <c r="C6" i="59"/>
  <c r="B6" i="59"/>
  <c r="A6" i="59"/>
  <c r="P5" i="59"/>
  <c r="C5" i="59"/>
  <c r="B5" i="59"/>
  <c r="A5" i="59"/>
  <c r="P4" i="59"/>
  <c r="C4" i="59"/>
  <c r="B4" i="59"/>
  <c r="A4" i="59"/>
  <c r="P3" i="59"/>
  <c r="C3" i="59"/>
  <c r="B3" i="59"/>
  <c r="A3" i="59"/>
  <c r="P32" i="58"/>
  <c r="C32" i="58"/>
  <c r="B32" i="58"/>
  <c r="A32" i="58"/>
  <c r="P31" i="58"/>
  <c r="C31" i="58"/>
  <c r="B31" i="58"/>
  <c r="A31" i="58"/>
  <c r="P30" i="58"/>
  <c r="C30" i="58"/>
  <c r="B30" i="58"/>
  <c r="A30" i="58"/>
  <c r="P29" i="58"/>
  <c r="C29" i="58"/>
  <c r="B29" i="58"/>
  <c r="A29" i="58"/>
  <c r="P28" i="58"/>
  <c r="C28" i="58"/>
  <c r="B28" i="58"/>
  <c r="A28" i="58"/>
  <c r="P27" i="58"/>
  <c r="C27" i="58"/>
  <c r="B27" i="58"/>
  <c r="A27" i="58"/>
  <c r="P26" i="58"/>
  <c r="C26" i="58"/>
  <c r="B26" i="58"/>
  <c r="A26" i="58"/>
  <c r="P25" i="58"/>
  <c r="C25" i="58"/>
  <c r="B25" i="58"/>
  <c r="A25" i="58"/>
  <c r="P24" i="58"/>
  <c r="C24" i="58"/>
  <c r="B24" i="58"/>
  <c r="A24" i="58"/>
  <c r="P23" i="58"/>
  <c r="C23" i="58"/>
  <c r="B23" i="58"/>
  <c r="A23" i="58"/>
  <c r="P22" i="58"/>
  <c r="C22" i="58"/>
  <c r="B22" i="58"/>
  <c r="A22" i="58"/>
  <c r="P21" i="58"/>
  <c r="C21" i="58"/>
  <c r="B21" i="58"/>
  <c r="A21" i="58"/>
  <c r="P20" i="58"/>
  <c r="C20" i="58"/>
  <c r="B20" i="58"/>
  <c r="A20" i="58"/>
  <c r="P19" i="58"/>
  <c r="C19" i="58"/>
  <c r="B19" i="58"/>
  <c r="A19" i="58"/>
  <c r="P18" i="58"/>
  <c r="C18" i="58"/>
  <c r="B18" i="58"/>
  <c r="A18" i="58"/>
  <c r="P17" i="58"/>
  <c r="C17" i="58"/>
  <c r="B17" i="58"/>
  <c r="A17" i="58"/>
  <c r="P16" i="58"/>
  <c r="C16" i="58"/>
  <c r="B16" i="58"/>
  <c r="A16" i="58"/>
  <c r="P15" i="58"/>
  <c r="C15" i="58"/>
  <c r="B15" i="58"/>
  <c r="A15" i="58"/>
  <c r="P14" i="58"/>
  <c r="C14" i="58"/>
  <c r="B14" i="58"/>
  <c r="A14" i="58"/>
  <c r="P13" i="58"/>
  <c r="C13" i="58"/>
  <c r="B13" i="58"/>
  <c r="A13" i="58"/>
  <c r="P12" i="58"/>
  <c r="C12" i="58"/>
  <c r="B12" i="58"/>
  <c r="A12" i="58"/>
  <c r="P11" i="58"/>
  <c r="C11" i="58"/>
  <c r="B11" i="58"/>
  <c r="A11" i="58"/>
  <c r="P10" i="58"/>
  <c r="C10" i="58"/>
  <c r="B10" i="58"/>
  <c r="A10" i="58"/>
  <c r="P9" i="58"/>
  <c r="C9" i="58"/>
  <c r="B9" i="58"/>
  <c r="A9" i="58"/>
  <c r="P8" i="58"/>
  <c r="C8" i="58"/>
  <c r="B8" i="58"/>
  <c r="A8" i="58"/>
  <c r="P7" i="58"/>
  <c r="C7" i="58"/>
  <c r="B7" i="58"/>
  <c r="A7" i="58"/>
  <c r="P6" i="58"/>
  <c r="C6" i="58"/>
  <c r="B6" i="58"/>
  <c r="A6" i="58"/>
  <c r="P5" i="58"/>
  <c r="C5" i="58"/>
  <c r="B5" i="58"/>
  <c r="A5" i="58"/>
  <c r="P4" i="58"/>
  <c r="C4" i="58"/>
  <c r="B4" i="58"/>
  <c r="A4" i="58"/>
  <c r="P3" i="58"/>
  <c r="C3" i="58"/>
  <c r="B3" i="58"/>
  <c r="A3" i="58"/>
  <c r="P13" i="1"/>
  <c r="O15" i="57" l="1"/>
  <c r="O16" i="57"/>
  <c r="O14" i="57"/>
  <c r="P33" i="60"/>
  <c r="P33" i="59"/>
  <c r="P33" i="58"/>
  <c r="O25" i="57"/>
  <c r="O26" i="57"/>
  <c r="O17" i="57"/>
  <c r="C32" i="45"/>
  <c r="B32" i="45"/>
  <c r="A32" i="45"/>
  <c r="C31" i="45"/>
  <c r="B31" i="45"/>
  <c r="A31" i="45"/>
  <c r="C30" i="45"/>
  <c r="B30" i="45"/>
  <c r="A30" i="45"/>
  <c r="C29" i="45"/>
  <c r="B29" i="45"/>
  <c r="A29" i="45"/>
  <c r="C28" i="45"/>
  <c r="B28" i="45"/>
  <c r="A28" i="45"/>
  <c r="C27" i="45"/>
  <c r="B27" i="45"/>
  <c r="A27" i="45"/>
  <c r="C26" i="45"/>
  <c r="B26" i="45"/>
  <c r="A26" i="45"/>
  <c r="C25" i="45"/>
  <c r="B25" i="45"/>
  <c r="A25" i="45"/>
  <c r="C24" i="45"/>
  <c r="B24" i="45"/>
  <c r="A24" i="45"/>
  <c r="C23" i="45"/>
  <c r="B23" i="45"/>
  <c r="A23" i="45"/>
  <c r="C22" i="45"/>
  <c r="B22" i="45"/>
  <c r="A22" i="45"/>
  <c r="C21" i="45"/>
  <c r="B21" i="45"/>
  <c r="A21" i="45"/>
  <c r="C20" i="45"/>
  <c r="B20" i="45"/>
  <c r="A20" i="45"/>
  <c r="C19" i="45"/>
  <c r="B19" i="45"/>
  <c r="A19" i="45"/>
  <c r="C18" i="45"/>
  <c r="B18" i="45"/>
  <c r="A18" i="45"/>
  <c r="C17" i="45"/>
  <c r="B17" i="45"/>
  <c r="A17" i="45"/>
  <c r="C16" i="45"/>
  <c r="B16" i="45"/>
  <c r="A16" i="45"/>
  <c r="C15" i="45"/>
  <c r="B15" i="45"/>
  <c r="A15" i="45"/>
  <c r="C14" i="45"/>
  <c r="B14" i="45"/>
  <c r="A14" i="45"/>
  <c r="C13" i="45"/>
  <c r="B13" i="45"/>
  <c r="A13" i="45"/>
  <c r="C12" i="45"/>
  <c r="B12" i="45"/>
  <c r="A12" i="45"/>
  <c r="C11" i="45"/>
  <c r="B11" i="45"/>
  <c r="A11" i="45"/>
  <c r="C10" i="45"/>
  <c r="B10" i="45"/>
  <c r="A10" i="45"/>
  <c r="C9" i="45"/>
  <c r="B9" i="45"/>
  <c r="A9" i="45"/>
  <c r="C8" i="45"/>
  <c r="B8" i="45"/>
  <c r="A8" i="45"/>
  <c r="C7" i="45"/>
  <c r="B7" i="45"/>
  <c r="A7" i="45"/>
  <c r="C6" i="45"/>
  <c r="B6" i="45"/>
  <c r="A6" i="45"/>
  <c r="C5" i="45"/>
  <c r="B5" i="45"/>
  <c r="A5" i="45"/>
  <c r="C4" i="45"/>
  <c r="B4" i="45"/>
  <c r="A4" i="45"/>
  <c r="C3" i="45"/>
  <c r="B3" i="45"/>
  <c r="A3" i="45"/>
  <c r="D4" i="57"/>
  <c r="E4" i="57"/>
  <c r="F4" i="57"/>
  <c r="G4" i="57"/>
  <c r="H4" i="57"/>
  <c r="I4" i="57"/>
  <c r="J4" i="57"/>
  <c r="K4" i="57"/>
  <c r="L4" i="57"/>
  <c r="M4" i="57"/>
  <c r="N4" i="57"/>
  <c r="C4" i="57"/>
  <c r="O24" i="57" l="1"/>
  <c r="O4" i="57"/>
  <c r="O21" i="57"/>
  <c r="O20" i="57"/>
  <c r="O12" i="52"/>
  <c r="A12" i="52"/>
  <c r="O11" i="52"/>
  <c r="A11" i="52"/>
  <c r="O10" i="52"/>
  <c r="A10" i="52"/>
  <c r="O9" i="52"/>
  <c r="A9" i="52"/>
  <c r="O8" i="52"/>
  <c r="A8" i="52"/>
  <c r="O7" i="52"/>
  <c r="A7" i="52"/>
  <c r="O6" i="52"/>
  <c r="A6" i="52"/>
  <c r="O5" i="52"/>
  <c r="A5" i="52"/>
  <c r="O4" i="52"/>
  <c r="A4" i="52"/>
  <c r="O3" i="52"/>
  <c r="A3" i="52"/>
  <c r="P12" i="49"/>
  <c r="A12" i="49"/>
  <c r="P11" i="49"/>
  <c r="A11" i="49"/>
  <c r="P10" i="49"/>
  <c r="A10" i="49"/>
  <c r="P9" i="49"/>
  <c r="A9" i="49"/>
  <c r="P8" i="49"/>
  <c r="A8" i="49"/>
  <c r="P7" i="49"/>
  <c r="A7" i="49"/>
  <c r="P6" i="49"/>
  <c r="A6" i="49"/>
  <c r="P5" i="49"/>
  <c r="A5" i="49"/>
  <c r="P4" i="49"/>
  <c r="A4" i="49"/>
  <c r="P3" i="49"/>
  <c r="A3" i="49"/>
  <c r="P12" i="48"/>
  <c r="A12" i="48"/>
  <c r="P11" i="48"/>
  <c r="A11" i="48"/>
  <c r="P10" i="48"/>
  <c r="A10" i="48"/>
  <c r="P9" i="48"/>
  <c r="A9" i="48"/>
  <c r="P8" i="48"/>
  <c r="A8" i="48"/>
  <c r="P7" i="48"/>
  <c r="A7" i="48"/>
  <c r="P6" i="48"/>
  <c r="A6" i="48"/>
  <c r="P5" i="48"/>
  <c r="A5" i="48"/>
  <c r="P4" i="48"/>
  <c r="A4" i="48"/>
  <c r="P3" i="48"/>
  <c r="A3" i="48"/>
  <c r="O13" i="52" l="1"/>
  <c r="P13" i="49"/>
  <c r="P13" i="48"/>
  <c r="B3" i="44" l="1"/>
  <c r="B4" i="44"/>
  <c r="B5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" i="41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" i="40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" i="43"/>
  <c r="B4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A4" i="37"/>
  <c r="A5" i="37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A28" i="37"/>
  <c r="A29" i="37"/>
  <c r="A30" i="37"/>
  <c r="A31" i="37"/>
  <c r="A32" i="37"/>
  <c r="A3" i="37"/>
  <c r="B3" i="39"/>
  <c r="B4" i="39"/>
  <c r="B5" i="39"/>
  <c r="B6" i="39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" i="37"/>
  <c r="B4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K32" i="44" l="1"/>
  <c r="C32" i="44"/>
  <c r="A32" i="44"/>
  <c r="K31" i="44"/>
  <c r="C31" i="44"/>
  <c r="A31" i="44"/>
  <c r="K30" i="44"/>
  <c r="C30" i="44"/>
  <c r="A30" i="44"/>
  <c r="K29" i="44"/>
  <c r="C29" i="44"/>
  <c r="A29" i="44"/>
  <c r="K28" i="44"/>
  <c r="C28" i="44"/>
  <c r="A28" i="44"/>
  <c r="K27" i="44"/>
  <c r="C27" i="44"/>
  <c r="A27" i="44"/>
  <c r="K26" i="44"/>
  <c r="C26" i="44"/>
  <c r="A26" i="44"/>
  <c r="K25" i="44"/>
  <c r="C25" i="44"/>
  <c r="A25" i="44"/>
  <c r="K24" i="44"/>
  <c r="C24" i="44"/>
  <c r="A24" i="44"/>
  <c r="K23" i="44"/>
  <c r="C23" i="44"/>
  <c r="A23" i="44"/>
  <c r="K22" i="44"/>
  <c r="C22" i="44"/>
  <c r="A22" i="44"/>
  <c r="K21" i="44"/>
  <c r="C21" i="44"/>
  <c r="A21" i="44"/>
  <c r="K20" i="44"/>
  <c r="C20" i="44"/>
  <c r="A20" i="44"/>
  <c r="K19" i="44"/>
  <c r="C19" i="44"/>
  <c r="A19" i="44"/>
  <c r="K18" i="44"/>
  <c r="C18" i="44"/>
  <c r="A18" i="44"/>
  <c r="K17" i="44"/>
  <c r="C17" i="44"/>
  <c r="A17" i="44"/>
  <c r="K16" i="44"/>
  <c r="C16" i="44"/>
  <c r="A16" i="44"/>
  <c r="C15" i="44"/>
  <c r="A15" i="44"/>
  <c r="C14" i="44"/>
  <c r="A14" i="44"/>
  <c r="C13" i="44"/>
  <c r="A13" i="44"/>
  <c r="C12" i="44"/>
  <c r="A12" i="44"/>
  <c r="C11" i="44"/>
  <c r="A11" i="44"/>
  <c r="C10" i="44"/>
  <c r="A10" i="44"/>
  <c r="C9" i="44"/>
  <c r="A9" i="44"/>
  <c r="C8" i="44"/>
  <c r="A8" i="44"/>
  <c r="C7" i="44"/>
  <c r="A7" i="44"/>
  <c r="C6" i="44"/>
  <c r="A6" i="44"/>
  <c r="C5" i="44"/>
  <c r="A5" i="44"/>
  <c r="C4" i="44"/>
  <c r="A4" i="44"/>
  <c r="C3" i="44"/>
  <c r="A3" i="44"/>
  <c r="C32" i="37"/>
  <c r="P32" i="37" l="1"/>
  <c r="K33" i="44"/>
  <c r="A9" i="43"/>
  <c r="A11" i="43"/>
  <c r="A13" i="43"/>
  <c r="A15" i="43"/>
  <c r="A17" i="43"/>
  <c r="A19" i="43"/>
  <c r="A18" i="43"/>
  <c r="A16" i="43"/>
  <c r="C32" i="43"/>
  <c r="A32" i="43"/>
  <c r="C31" i="43"/>
  <c r="A31" i="43"/>
  <c r="C30" i="43"/>
  <c r="A30" i="43"/>
  <c r="C29" i="43"/>
  <c r="A29" i="43"/>
  <c r="C28" i="43"/>
  <c r="A28" i="43"/>
  <c r="C27" i="43"/>
  <c r="A27" i="43"/>
  <c r="C26" i="43"/>
  <c r="A26" i="43"/>
  <c r="C25" i="43"/>
  <c r="A25" i="43"/>
  <c r="C24" i="43"/>
  <c r="A24" i="43"/>
  <c r="C23" i="43"/>
  <c r="A23" i="43"/>
  <c r="C22" i="43"/>
  <c r="A22" i="43"/>
  <c r="C21" i="43"/>
  <c r="A21" i="43"/>
  <c r="C20" i="43"/>
  <c r="A20" i="43"/>
  <c r="C19" i="43"/>
  <c r="C18" i="43"/>
  <c r="C17" i="43"/>
  <c r="C16" i="43"/>
  <c r="C15" i="43"/>
  <c r="C14" i="43"/>
  <c r="A14" i="43"/>
  <c r="C13" i="43"/>
  <c r="C12" i="43"/>
  <c r="A12" i="43"/>
  <c r="C11" i="43"/>
  <c r="C10" i="43"/>
  <c r="A10" i="43"/>
  <c r="C9" i="43"/>
  <c r="C8" i="43"/>
  <c r="A8" i="43"/>
  <c r="C7" i="43"/>
  <c r="A7" i="43"/>
  <c r="C6" i="43"/>
  <c r="A6" i="43"/>
  <c r="C5" i="43"/>
  <c r="A5" i="43"/>
  <c r="C4" i="43"/>
  <c r="A4" i="43"/>
  <c r="C3" i="43"/>
  <c r="A3" i="43"/>
  <c r="C32" i="41"/>
  <c r="A32" i="41"/>
  <c r="C31" i="41"/>
  <c r="A31" i="41"/>
  <c r="C30" i="41"/>
  <c r="A30" i="41"/>
  <c r="C29" i="41"/>
  <c r="A29" i="41"/>
  <c r="C28" i="41"/>
  <c r="A28" i="41"/>
  <c r="C27" i="41"/>
  <c r="A27" i="41"/>
  <c r="C26" i="41"/>
  <c r="A26" i="41"/>
  <c r="C25" i="41"/>
  <c r="A25" i="41"/>
  <c r="C24" i="41"/>
  <c r="A24" i="41"/>
  <c r="C23" i="41"/>
  <c r="A23" i="41"/>
  <c r="C22" i="41"/>
  <c r="A22" i="41"/>
  <c r="C21" i="41"/>
  <c r="A21" i="41"/>
  <c r="C20" i="41"/>
  <c r="A20" i="41"/>
  <c r="C19" i="41"/>
  <c r="A19" i="41"/>
  <c r="C18" i="41"/>
  <c r="A18" i="41"/>
  <c r="C17" i="41"/>
  <c r="A17" i="41"/>
  <c r="C16" i="41"/>
  <c r="A16" i="41"/>
  <c r="C15" i="41"/>
  <c r="A15" i="41"/>
  <c r="C14" i="41"/>
  <c r="A14" i="41"/>
  <c r="C13" i="41"/>
  <c r="A13" i="41"/>
  <c r="C12" i="41"/>
  <c r="A12" i="41"/>
  <c r="C11" i="41"/>
  <c r="A11" i="41"/>
  <c r="C10" i="41"/>
  <c r="A10" i="41"/>
  <c r="C9" i="41"/>
  <c r="A9" i="41"/>
  <c r="C8" i="41"/>
  <c r="A8" i="41"/>
  <c r="C7" i="41"/>
  <c r="A7" i="41"/>
  <c r="C6" i="41"/>
  <c r="A6" i="41"/>
  <c r="C5" i="41"/>
  <c r="A5" i="41"/>
  <c r="C4" i="41"/>
  <c r="A4" i="41"/>
  <c r="C3" i="41"/>
  <c r="A3" i="41"/>
  <c r="C32" i="40"/>
  <c r="A32" i="40"/>
  <c r="C31" i="40"/>
  <c r="A31" i="40"/>
  <c r="C30" i="40"/>
  <c r="A30" i="40"/>
  <c r="C29" i="40"/>
  <c r="A29" i="40"/>
  <c r="C28" i="40"/>
  <c r="A28" i="40"/>
  <c r="C27" i="40"/>
  <c r="A27" i="40"/>
  <c r="C26" i="40"/>
  <c r="A26" i="40"/>
  <c r="C25" i="40"/>
  <c r="A25" i="40"/>
  <c r="C24" i="40"/>
  <c r="A24" i="40"/>
  <c r="C23" i="40"/>
  <c r="A23" i="40"/>
  <c r="C22" i="40"/>
  <c r="A22" i="40"/>
  <c r="C21" i="40"/>
  <c r="A21" i="40"/>
  <c r="C20" i="40"/>
  <c r="A20" i="40"/>
  <c r="C19" i="40"/>
  <c r="A19" i="40"/>
  <c r="C18" i="40"/>
  <c r="A18" i="40"/>
  <c r="C17" i="40"/>
  <c r="A17" i="40"/>
  <c r="C16" i="40"/>
  <c r="A16" i="40"/>
  <c r="C15" i="40"/>
  <c r="A15" i="40"/>
  <c r="C14" i="40"/>
  <c r="A14" i="40"/>
  <c r="C13" i="40"/>
  <c r="A13" i="40"/>
  <c r="C12" i="40"/>
  <c r="A12" i="40"/>
  <c r="C11" i="40"/>
  <c r="A11" i="40"/>
  <c r="C10" i="40"/>
  <c r="A10" i="40"/>
  <c r="C9" i="40"/>
  <c r="A9" i="40"/>
  <c r="C8" i="40"/>
  <c r="A8" i="40"/>
  <c r="C7" i="40"/>
  <c r="A7" i="40"/>
  <c r="C6" i="40"/>
  <c r="A6" i="40"/>
  <c r="C5" i="40"/>
  <c r="A5" i="40"/>
  <c r="C4" i="40"/>
  <c r="A4" i="40"/>
  <c r="C3" i="40"/>
  <c r="A3" i="40"/>
  <c r="C32" i="39"/>
  <c r="A32" i="39"/>
  <c r="C31" i="39"/>
  <c r="A31" i="39"/>
  <c r="C30" i="39"/>
  <c r="A30" i="39"/>
  <c r="C29" i="39"/>
  <c r="A29" i="39"/>
  <c r="C28" i="39"/>
  <c r="A28" i="39"/>
  <c r="C27" i="39"/>
  <c r="A27" i="39"/>
  <c r="C26" i="39"/>
  <c r="A26" i="39"/>
  <c r="C25" i="39"/>
  <c r="A25" i="39"/>
  <c r="C24" i="39"/>
  <c r="A24" i="39"/>
  <c r="C23" i="39"/>
  <c r="A23" i="39"/>
  <c r="C22" i="39"/>
  <c r="A22" i="39"/>
  <c r="C21" i="39"/>
  <c r="A21" i="39"/>
  <c r="C20" i="39"/>
  <c r="A20" i="39"/>
  <c r="C19" i="39"/>
  <c r="A19" i="39"/>
  <c r="C18" i="39"/>
  <c r="A18" i="39"/>
  <c r="C17" i="39"/>
  <c r="A17" i="39"/>
  <c r="C16" i="39"/>
  <c r="A16" i="39"/>
  <c r="C15" i="39"/>
  <c r="A15" i="39"/>
  <c r="C14" i="39"/>
  <c r="A14" i="39"/>
  <c r="C13" i="39"/>
  <c r="A13" i="39"/>
  <c r="C12" i="39"/>
  <c r="A12" i="39"/>
  <c r="C11" i="39"/>
  <c r="A11" i="39"/>
  <c r="C10" i="39"/>
  <c r="A10" i="39"/>
  <c r="C9" i="39"/>
  <c r="A9" i="39"/>
  <c r="C8" i="39"/>
  <c r="A8" i="39"/>
  <c r="C7" i="39"/>
  <c r="A7" i="39"/>
  <c r="C6" i="39"/>
  <c r="A6" i="39"/>
  <c r="C5" i="39"/>
  <c r="A5" i="39"/>
  <c r="C4" i="39"/>
  <c r="A4" i="39"/>
  <c r="C3" i="39"/>
  <c r="A3" i="39"/>
  <c r="C32" i="38"/>
  <c r="A32" i="38"/>
  <c r="C31" i="38"/>
  <c r="A31" i="38"/>
  <c r="C30" i="38"/>
  <c r="A30" i="38"/>
  <c r="C29" i="38"/>
  <c r="A29" i="38"/>
  <c r="C28" i="38"/>
  <c r="A28" i="38"/>
  <c r="C27" i="38"/>
  <c r="A27" i="38"/>
  <c r="C26" i="38"/>
  <c r="A26" i="38"/>
  <c r="C25" i="38"/>
  <c r="A25" i="38"/>
  <c r="C24" i="38"/>
  <c r="A24" i="38"/>
  <c r="C23" i="38"/>
  <c r="A23" i="38"/>
  <c r="C22" i="38"/>
  <c r="A22" i="38"/>
  <c r="C21" i="38"/>
  <c r="A21" i="38"/>
  <c r="C20" i="38"/>
  <c r="A20" i="38"/>
  <c r="C19" i="38"/>
  <c r="A19" i="38"/>
  <c r="C18" i="38"/>
  <c r="A18" i="38"/>
  <c r="C17" i="38"/>
  <c r="A17" i="38"/>
  <c r="C16" i="38"/>
  <c r="A16" i="38"/>
  <c r="C15" i="38"/>
  <c r="A15" i="38"/>
  <c r="C14" i="38"/>
  <c r="A14" i="38"/>
  <c r="C13" i="38"/>
  <c r="A13" i="38"/>
  <c r="C12" i="38"/>
  <c r="A12" i="38"/>
  <c r="C11" i="38"/>
  <c r="A11" i="38"/>
  <c r="C10" i="38"/>
  <c r="A10" i="38"/>
  <c r="C9" i="38"/>
  <c r="A9" i="38"/>
  <c r="C8" i="38"/>
  <c r="A8" i="38"/>
  <c r="C7" i="38"/>
  <c r="A7" i="38"/>
  <c r="C6" i="38"/>
  <c r="A6" i="38"/>
  <c r="C5" i="38"/>
  <c r="A5" i="38"/>
  <c r="C4" i="38"/>
  <c r="A4" i="38"/>
  <c r="C3" i="38"/>
  <c r="A3" i="38"/>
  <c r="C4" i="37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" i="37"/>
  <c r="P7" i="1"/>
  <c r="P8" i="1"/>
  <c r="P9" i="1"/>
  <c r="P10" i="1"/>
  <c r="P11" i="1"/>
  <c r="P12" i="1"/>
  <c r="P14" i="1"/>
  <c r="P15" i="1"/>
  <c r="P16" i="1"/>
  <c r="P30" i="1"/>
  <c r="P31" i="1"/>
  <c r="P17" i="1"/>
  <c r="P21" i="1"/>
  <c r="O11" i="57" l="1"/>
  <c r="P9" i="45"/>
  <c r="P14" i="45"/>
  <c r="P18" i="45"/>
  <c r="P7" i="45"/>
  <c r="E13" i="57"/>
  <c r="E28" i="57" s="1"/>
  <c r="I13" i="57"/>
  <c r="I28" i="57" s="1"/>
  <c r="M13" i="57"/>
  <c r="M28" i="57" s="1"/>
  <c r="P4" i="45"/>
  <c r="P6" i="45"/>
  <c r="P11" i="45"/>
  <c r="P17" i="45"/>
  <c r="P20" i="45"/>
  <c r="P22" i="45"/>
  <c r="P24" i="45"/>
  <c r="P26" i="45"/>
  <c r="P28" i="45"/>
  <c r="P30" i="45"/>
  <c r="P32" i="45"/>
  <c r="F13" i="57"/>
  <c r="F28" i="57" s="1"/>
  <c r="J13" i="57"/>
  <c r="J28" i="57" s="1"/>
  <c r="N13" i="57"/>
  <c r="N28" i="57" s="1"/>
  <c r="G13" i="57"/>
  <c r="G28" i="57" s="1"/>
  <c r="K13" i="57"/>
  <c r="K28" i="57" s="1"/>
  <c r="P5" i="45"/>
  <c r="P12" i="45"/>
  <c r="P15" i="45"/>
  <c r="P19" i="45"/>
  <c r="P21" i="45"/>
  <c r="P23" i="45"/>
  <c r="P25" i="45"/>
  <c r="P27" i="45"/>
  <c r="P29" i="45"/>
  <c r="P31" i="45"/>
  <c r="D13" i="57"/>
  <c r="D28" i="57" s="1"/>
  <c r="L13" i="57"/>
  <c r="L28" i="57" s="1"/>
  <c r="P10" i="45"/>
  <c r="P13" i="45"/>
  <c r="P16" i="45"/>
  <c r="Q3" i="43"/>
  <c r="Q7" i="43"/>
  <c r="Q15" i="43"/>
  <c r="Q17" i="43"/>
  <c r="Q19" i="43"/>
  <c r="Q23" i="43"/>
  <c r="Q27" i="43"/>
  <c r="Q31" i="43"/>
  <c r="Q9" i="43"/>
  <c r="Q10" i="43"/>
  <c r="Q12" i="43"/>
  <c r="Q5" i="43"/>
  <c r="Q6" i="43"/>
  <c r="Q11" i="43"/>
  <c r="Q16" i="43"/>
  <c r="Q21" i="43"/>
  <c r="Q22" i="43"/>
  <c r="Q25" i="43"/>
  <c r="Q26" i="43"/>
  <c r="Q29" i="43"/>
  <c r="Q30" i="43"/>
  <c r="Q4" i="43"/>
  <c r="Q8" i="43"/>
  <c r="Q13" i="43"/>
  <c r="Q14" i="43"/>
  <c r="Q18" i="43"/>
  <c r="Q20" i="43"/>
  <c r="Q24" i="43"/>
  <c r="Q28" i="43"/>
  <c r="Q32" i="43"/>
  <c r="Q4" i="38"/>
  <c r="Q6" i="38"/>
  <c r="Q8" i="38"/>
  <c r="Q10" i="38"/>
  <c r="Q12" i="38"/>
  <c r="Q14" i="38"/>
  <c r="Q16" i="38"/>
  <c r="Q18" i="38"/>
  <c r="Q20" i="38"/>
  <c r="Q22" i="38"/>
  <c r="Q24" i="38"/>
  <c r="Q26" i="38"/>
  <c r="Q28" i="38"/>
  <c r="Q30" i="38"/>
  <c r="Q32" i="38"/>
  <c r="Q4" i="40"/>
  <c r="Q6" i="40"/>
  <c r="Q8" i="40"/>
  <c r="Q10" i="40"/>
  <c r="Q12" i="40"/>
  <c r="Q14" i="40"/>
  <c r="Q16" i="40"/>
  <c r="Q18" i="40"/>
  <c r="Q20" i="40"/>
  <c r="Q22" i="40"/>
  <c r="Q24" i="40"/>
  <c r="Q26" i="40"/>
  <c r="Q28" i="40"/>
  <c r="Q30" i="40"/>
  <c r="Q32" i="40"/>
  <c r="K4" i="41"/>
  <c r="K6" i="41"/>
  <c r="K8" i="41"/>
  <c r="K10" i="41"/>
  <c r="K12" i="41"/>
  <c r="K14" i="41"/>
  <c r="K16" i="41"/>
  <c r="K18" i="41"/>
  <c r="K20" i="41"/>
  <c r="K22" i="41"/>
  <c r="K24" i="41"/>
  <c r="K26" i="41"/>
  <c r="K28" i="41"/>
  <c r="K30" i="41"/>
  <c r="K32" i="41"/>
  <c r="Q5" i="38"/>
  <c r="Q9" i="38"/>
  <c r="Q17" i="38"/>
  <c r="Q21" i="38"/>
  <c r="Q25" i="38"/>
  <c r="Q27" i="38"/>
  <c r="Q29" i="38"/>
  <c r="Q31" i="38"/>
  <c r="Q3" i="40"/>
  <c r="Q5" i="40"/>
  <c r="Q7" i="40"/>
  <c r="Q9" i="40"/>
  <c r="Q11" i="40"/>
  <c r="Q13" i="40"/>
  <c r="Q15" i="40"/>
  <c r="Q17" i="40"/>
  <c r="Q19" i="40"/>
  <c r="Q21" i="40"/>
  <c r="Q23" i="40"/>
  <c r="Q25" i="40"/>
  <c r="Q27" i="40"/>
  <c r="Q29" i="40"/>
  <c r="Q31" i="40"/>
  <c r="K3" i="41"/>
  <c r="K5" i="41"/>
  <c r="K7" i="41"/>
  <c r="K9" i="41"/>
  <c r="K11" i="41"/>
  <c r="K13" i="41"/>
  <c r="K15" i="41"/>
  <c r="K17" i="41"/>
  <c r="K19" i="41"/>
  <c r="K21" i="41"/>
  <c r="K23" i="41"/>
  <c r="K25" i="41"/>
  <c r="K27" i="41"/>
  <c r="K29" i="41"/>
  <c r="K31" i="41"/>
  <c r="Q3" i="38"/>
  <c r="Q7" i="38"/>
  <c r="Q11" i="38"/>
  <c r="Q13" i="38"/>
  <c r="Q15" i="38"/>
  <c r="Q19" i="38"/>
  <c r="Q23" i="38"/>
  <c r="P4" i="39"/>
  <c r="P6" i="39"/>
  <c r="P8" i="39"/>
  <c r="P10" i="39"/>
  <c r="P12" i="39"/>
  <c r="P14" i="39"/>
  <c r="P16" i="39"/>
  <c r="P18" i="39"/>
  <c r="P20" i="39"/>
  <c r="P22" i="39"/>
  <c r="P24" i="39"/>
  <c r="P26" i="39"/>
  <c r="P28" i="39"/>
  <c r="P30" i="39"/>
  <c r="P32" i="39"/>
  <c r="P3" i="39"/>
  <c r="P5" i="39"/>
  <c r="P7" i="39"/>
  <c r="P9" i="39"/>
  <c r="P11" i="39"/>
  <c r="P13" i="39"/>
  <c r="P15" i="39"/>
  <c r="P17" i="39"/>
  <c r="P19" i="39"/>
  <c r="P21" i="39"/>
  <c r="P23" i="39"/>
  <c r="P25" i="39"/>
  <c r="P27" i="39"/>
  <c r="P29" i="39"/>
  <c r="P31" i="39"/>
  <c r="P28" i="37"/>
  <c r="P24" i="37"/>
  <c r="P20" i="37"/>
  <c r="P16" i="37"/>
  <c r="P12" i="37"/>
  <c r="P8" i="37"/>
  <c r="P4" i="37"/>
  <c r="P29" i="37"/>
  <c r="P17" i="37"/>
  <c r="P13" i="37"/>
  <c r="P21" i="37"/>
  <c r="P25" i="37"/>
  <c r="P9" i="37"/>
  <c r="P19" i="37"/>
  <c r="P10" i="37"/>
  <c r="P27" i="37"/>
  <c r="P15" i="37"/>
  <c r="P31" i="37"/>
  <c r="P23" i="37"/>
  <c r="P11" i="37"/>
  <c r="P26" i="37"/>
  <c r="P5" i="37"/>
  <c r="P7" i="37"/>
  <c r="P30" i="37"/>
  <c r="P22" i="37"/>
  <c r="P18" i="37"/>
  <c r="P14" i="37"/>
  <c r="P6" i="37"/>
  <c r="P4" i="1"/>
  <c r="P5" i="1"/>
  <c r="P6" i="1"/>
  <c r="P18" i="1"/>
  <c r="P19" i="1"/>
  <c r="P20" i="1"/>
  <c r="P22" i="1"/>
  <c r="P23" i="1"/>
  <c r="P24" i="1"/>
  <c r="P25" i="1"/>
  <c r="P26" i="1"/>
  <c r="P27" i="1"/>
  <c r="P28" i="1"/>
  <c r="P29" i="1"/>
  <c r="P32" i="1"/>
  <c r="P3" i="1"/>
  <c r="O9" i="57" l="1"/>
  <c r="O7" i="57"/>
  <c r="C13" i="57"/>
  <c r="C28" i="57" s="1"/>
  <c r="P3" i="45"/>
  <c r="O8" i="57"/>
  <c r="H13" i="57"/>
  <c r="H28" i="57" s="1"/>
  <c r="P8" i="45"/>
  <c r="Q33" i="43"/>
  <c r="K33" i="41"/>
  <c r="Q33" i="40"/>
  <c r="Q33" i="38"/>
  <c r="P33" i="39"/>
  <c r="P33" i="1"/>
  <c r="P3" i="37"/>
  <c r="P33" i="37" s="1"/>
  <c r="O13" i="57" l="1"/>
  <c r="O28" i="57" s="1"/>
  <c r="P33" i="45"/>
</calcChain>
</file>

<file path=xl/sharedStrings.xml><?xml version="1.0" encoding="utf-8"?>
<sst xmlns="http://schemas.openxmlformats.org/spreadsheetml/2006/main" count="429" uniqueCount="79">
  <si>
    <t>Nome</t>
  </si>
  <si>
    <t>Cargo</t>
  </si>
  <si>
    <t>Total</t>
  </si>
  <si>
    <t>INSS</t>
  </si>
  <si>
    <t>FGTS</t>
  </si>
  <si>
    <t>Alíquota</t>
  </si>
  <si>
    <t>IRPF</t>
  </si>
  <si>
    <t xml:space="preserve">Total Geral        </t>
  </si>
  <si>
    <t>13º Salário</t>
  </si>
  <si>
    <t>PIS</t>
  </si>
  <si>
    <t>Parcela</t>
  </si>
  <si>
    <t>Janeiro</t>
  </si>
  <si>
    <t>Fevereiro</t>
  </si>
  <si>
    <t>Março</t>
  </si>
  <si>
    <t>Abril</t>
  </si>
  <si>
    <t>Junho</t>
  </si>
  <si>
    <t>Julho</t>
  </si>
  <si>
    <t>Agosto</t>
  </si>
  <si>
    <t>Outubro</t>
  </si>
  <si>
    <t>Maio</t>
  </si>
  <si>
    <t>Nº</t>
  </si>
  <si>
    <t>INSS Patronal</t>
  </si>
  <si>
    <t>Novembro</t>
  </si>
  <si>
    <t>Dezembro</t>
  </si>
  <si>
    <t>Setembro</t>
  </si>
  <si>
    <t>Classificação</t>
  </si>
  <si>
    <t>Generos Alimentícios</t>
  </si>
  <si>
    <t>1/3 Férias</t>
  </si>
  <si>
    <t>JUSTIFICATIVA DOS ITENS ADQUIRIDOS</t>
  </si>
  <si>
    <t>INSS - Patronal</t>
  </si>
  <si>
    <t>Férias</t>
  </si>
  <si>
    <t>Multa Rescisória FGTS</t>
  </si>
  <si>
    <t>Estagiários</t>
  </si>
  <si>
    <t>Material de Expediente</t>
  </si>
  <si>
    <t>Gen. Aliment.</t>
  </si>
  <si>
    <t>Vale Alimentação</t>
  </si>
  <si>
    <t>Vale Refeição</t>
  </si>
  <si>
    <t>Vale Transporte</t>
  </si>
  <si>
    <t>Descrição</t>
  </si>
  <si>
    <t>Salário</t>
  </si>
  <si>
    <t>Assistência Médica</t>
  </si>
  <si>
    <t>Assistência Odontológica</t>
  </si>
  <si>
    <t>Aviso Prévio</t>
  </si>
  <si>
    <t>RECURSOS HUMANOS</t>
  </si>
  <si>
    <t>Gastos Administrativos</t>
  </si>
  <si>
    <t>Material Esportivo</t>
  </si>
  <si>
    <t>Uniformes Atendidos</t>
  </si>
  <si>
    <t>Outros Materiais</t>
  </si>
  <si>
    <t>Materiais</t>
  </si>
  <si>
    <t>JUSTIFICATIVA DOS ITENS ADQUIRIDOS NA CLASSIFICAÇÃO OUTROS MATERIAIS</t>
  </si>
  <si>
    <t>Outros Serviços de Terceiros Pessoa Física</t>
  </si>
  <si>
    <t>Outros Serviços de Pessoa Jurídica</t>
  </si>
  <si>
    <t>Serviços de Terceiros</t>
  </si>
  <si>
    <t>Diversos</t>
  </si>
  <si>
    <t>CNPJ</t>
  </si>
  <si>
    <t>JUSTIFICATIVA DOS SERVIÇOS CONTRATADOS NA CLASSIFICAÇÃO OUTROS SERVIÇOS DE TERCEIROS PESSOA FÍSICA</t>
  </si>
  <si>
    <t>JUSTIFICATIVA DOS SERVIÇOS CONTRATADOS NA CLASSIFICAÇÃO OUTROS SERVIÇOS DE TERCEIROS PESSOA JURÍDICA</t>
  </si>
  <si>
    <t>CRONOGRAMA DE DESEMBOLSO</t>
  </si>
  <si>
    <t>1- DADOS CADASTRAIS</t>
  </si>
  <si>
    <t>Entidade Proponente</t>
  </si>
  <si>
    <t>Endereço</t>
  </si>
  <si>
    <t>2 - SECRETARIA E VALOR LIBERADO</t>
  </si>
  <si>
    <t>Secretaria Vinculada</t>
  </si>
  <si>
    <t>Valor Liberado</t>
  </si>
  <si>
    <t>Nome do Responsável pelo Projeto</t>
  </si>
  <si>
    <t>CPF</t>
  </si>
  <si>
    <t>RG / Órgão</t>
  </si>
  <si>
    <t>Formação</t>
  </si>
  <si>
    <t xml:space="preserve">Endereço </t>
  </si>
  <si>
    <t>CEP</t>
  </si>
  <si>
    <t>Telefone</t>
  </si>
  <si>
    <t>WhatsApp</t>
  </si>
  <si>
    <t>E-mail</t>
  </si>
  <si>
    <t>3 - RESPONSÁVEL PELO PROJETO</t>
  </si>
  <si>
    <t>b</t>
  </si>
  <si>
    <t>Versão 1.0</t>
  </si>
  <si>
    <t>4 - ORIENTAÇÕES</t>
  </si>
  <si>
    <r>
      <t xml:space="preserve">
</t>
    </r>
    <r>
      <rPr>
        <b/>
        <u/>
        <sz val="11"/>
        <color theme="1"/>
        <rFont val="Calibri"/>
        <family val="2"/>
        <scheme val="minor"/>
      </rPr>
      <t>Lançar somente os valores pagos com recursos públicos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 cronograma de desembolso deve ser entregue contendo:</t>
    </r>
    <r>
      <rPr>
        <sz val="11"/>
        <color theme="1"/>
        <rFont val="Calibri"/>
        <family val="2"/>
        <scheme val="minor"/>
      </rPr>
      <t xml:space="preserve">
1. A capa com os dados da entidade
2. Todas as planilhas que estiverem preenchidas
3. Planilha total
* Todas as rubricas que tenham o texto "justificar", deverá ser descrito no campo logo abaixo o serviço a ser executado e a necessidade da entidade.
** Cada planiha deve ser impressa em página única, ao imprimir cada planilha selecionar a opção </t>
    </r>
    <r>
      <rPr>
        <b/>
        <u/>
        <sz val="11"/>
        <color theme="1"/>
        <rFont val="Calibri"/>
        <family val="2"/>
        <scheme val="minor"/>
      </rPr>
      <t>"Ajustar todas as colunas em uma página"</t>
    </r>
    <r>
      <rPr>
        <sz val="11"/>
        <color theme="1"/>
        <rFont val="Calibri"/>
        <family val="2"/>
        <scheme val="minor"/>
      </rPr>
      <t xml:space="preserve">
*** Antes de entregar na Divisão de Convênios verificar se todos os valores estão lançados corretamente na planilha "30 - Total"</t>
    </r>
  </si>
  <si>
    <t>Versão 1.0.2025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</si>
</sst>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2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4" fontId="2" fillId="0" borderId="3" xfId="3" applyFont="1" applyBorder="1" applyAlignment="1">
      <alignment vertical="center"/>
    </xf>
    <xf numFmtId="44" fontId="2" fillId="0" borderId="8" xfId="3" applyFont="1" applyBorder="1" applyAlignment="1">
      <alignment vertical="center"/>
    </xf>
    <xf numFmtId="44" fontId="2" fillId="0" borderId="1" xfId="3" applyFont="1" applyBorder="1" applyAlignment="1">
      <alignment vertical="center"/>
    </xf>
    <xf numFmtId="44" fontId="2" fillId="0" borderId="2" xfId="3" applyFont="1" applyBorder="1" applyAlignment="1">
      <alignment vertical="center"/>
    </xf>
    <xf numFmtId="44" fontId="2" fillId="0" borderId="12" xfId="3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3" applyFont="1" applyBorder="1" applyAlignment="1">
      <alignment vertical="center"/>
    </xf>
    <xf numFmtId="44" fontId="5" fillId="0" borderId="8" xfId="3" applyFont="1" applyBorder="1" applyAlignment="1">
      <alignment vertical="center"/>
    </xf>
    <xf numFmtId="44" fontId="4" fillId="2" borderId="3" xfId="1" applyFont="1" applyFill="1" applyBorder="1"/>
    <xf numFmtId="10" fontId="2" fillId="0" borderId="3" xfId="2" applyNumberFormat="1" applyFont="1" applyBorder="1" applyAlignment="1">
      <alignment vertical="center" wrapText="1"/>
    </xf>
    <xf numFmtId="10" fontId="2" fillId="0" borderId="1" xfId="2" applyNumberFormat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44" fontId="4" fillId="0" borderId="0" xfId="1" applyFont="1" applyFill="1" applyBorder="1"/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4" fontId="2" fillId="0" borderId="3" xfId="3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4" fontId="2" fillId="0" borderId="1" xfId="3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4" fontId="2" fillId="0" borderId="2" xfId="3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44" fontId="2" fillId="0" borderId="8" xfId="3" applyFont="1" applyBorder="1" applyAlignment="1" applyProtection="1">
      <alignment vertical="center"/>
      <protection locked="0" hidden="1"/>
    </xf>
    <xf numFmtId="44" fontId="2" fillId="0" borderId="12" xfId="3" applyFont="1" applyBorder="1" applyAlignment="1" applyProtection="1">
      <alignment vertical="center"/>
      <protection locked="0" hidden="1"/>
    </xf>
    <xf numFmtId="0" fontId="2" fillId="3" borderId="1" xfId="0" applyFont="1" applyFill="1" applyBorder="1" applyAlignment="1">
      <alignment vertical="top" wrapText="1"/>
    </xf>
    <xf numFmtId="44" fontId="7" fillId="2" borderId="5" xfId="0" applyNumberFormat="1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4" fontId="2" fillId="0" borderId="21" xfId="3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4" fontId="2" fillId="0" borderId="23" xfId="3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44" fontId="2" fillId="0" borderId="24" xfId="3" applyFont="1" applyBorder="1" applyAlignment="1">
      <alignment vertical="center"/>
    </xf>
    <xf numFmtId="44" fontId="5" fillId="0" borderId="23" xfId="3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44" fontId="5" fillId="0" borderId="17" xfId="3" applyFont="1" applyBorder="1" applyAlignment="1">
      <alignment vertical="center"/>
    </xf>
    <xf numFmtId="44" fontId="5" fillId="0" borderId="18" xfId="3" applyFont="1" applyBorder="1" applyAlignment="1">
      <alignment vertical="center"/>
    </xf>
    <xf numFmtId="44" fontId="2" fillId="0" borderId="19" xfId="3" applyFont="1" applyFill="1" applyBorder="1" applyAlignment="1">
      <alignment vertical="center"/>
    </xf>
    <xf numFmtId="44" fontId="2" fillId="0" borderId="20" xfId="3" applyFont="1" applyFill="1" applyBorder="1" applyAlignment="1">
      <alignment vertical="center"/>
    </xf>
    <xf numFmtId="44" fontId="2" fillId="0" borderId="1" xfId="3" applyFont="1" applyFill="1" applyBorder="1" applyAlignment="1">
      <alignment vertical="center"/>
    </xf>
    <xf numFmtId="44" fontId="5" fillId="0" borderId="1" xfId="3" applyFont="1" applyFill="1" applyBorder="1" applyAlignment="1">
      <alignment vertical="center"/>
    </xf>
    <xf numFmtId="44" fontId="5" fillId="0" borderId="21" xfId="3" applyFont="1" applyFill="1" applyBorder="1" applyAlignment="1">
      <alignment vertical="center"/>
    </xf>
    <xf numFmtId="0" fontId="6" fillId="0" borderId="16" xfId="0" quotePrefix="1" applyFont="1" applyBorder="1" applyAlignment="1">
      <alignment horizontal="center" vertical="center" wrapText="1"/>
    </xf>
    <xf numFmtId="44" fontId="2" fillId="0" borderId="17" xfId="3" applyFont="1" applyFill="1" applyBorder="1" applyAlignment="1">
      <alignment vertical="center"/>
    </xf>
    <xf numFmtId="44" fontId="2" fillId="0" borderId="18" xfId="3" applyFont="1" applyFill="1" applyBorder="1" applyAlignment="1">
      <alignment vertical="center"/>
    </xf>
    <xf numFmtId="44" fontId="2" fillId="0" borderId="21" xfId="3" applyFont="1" applyFill="1" applyBorder="1" applyAlignment="1">
      <alignment vertical="center"/>
    </xf>
    <xf numFmtId="44" fontId="2" fillId="0" borderId="23" xfId="3" applyFont="1" applyFill="1" applyBorder="1" applyAlignment="1">
      <alignment vertical="center"/>
    </xf>
    <xf numFmtId="44" fontId="5" fillId="0" borderId="23" xfId="3" applyFont="1" applyFill="1" applyBorder="1" applyAlignment="1">
      <alignment vertical="center"/>
    </xf>
    <xf numFmtId="44" fontId="5" fillId="0" borderId="24" xfId="3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44" fontId="2" fillId="0" borderId="24" xfId="3" applyFont="1" applyFill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44" fontId="7" fillId="2" borderId="14" xfId="0" applyNumberFormat="1" applyFont="1" applyFill="1" applyBorder="1"/>
    <xf numFmtId="44" fontId="4" fillId="2" borderId="18" xfId="1" applyFont="1" applyFill="1" applyBorder="1"/>
    <xf numFmtId="0" fontId="2" fillId="0" borderId="22" xfId="0" applyFont="1" applyBorder="1" applyAlignment="1">
      <alignment horizontal="center" vertical="center"/>
    </xf>
    <xf numFmtId="0" fontId="0" fillId="4" borderId="0" xfId="0" applyFill="1"/>
    <xf numFmtId="0" fontId="9" fillId="4" borderId="29" xfId="0" applyFont="1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0" fillId="4" borderId="3" xfId="0" applyFill="1" applyBorder="1" applyAlignment="1" applyProtection="1">
      <alignment horizontal="left" vertical="center"/>
      <protection locked="0"/>
    </xf>
    <xf numFmtId="0" fontId="9" fillId="4" borderId="1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1" xfId="0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vertical="center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0" fillId="0" borderId="3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4" borderId="2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quotePrefix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Porcentagem" xfId="2" builtinId="5"/>
  </cellStyles>
  <dxfs count="4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R$&quot;\ * #,##0.00_-;\-&quot;R$&quot;\ * #,##0.00_-;_-&quot;R$&quot;\ * &quot;-&quot;??_-;_-@_-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SalarioBase" displayName="TabelaSalarioBase" ref="A2:P32" totalsRowShown="0" headerRowDxfId="421" dataDxfId="420" tableBorderDxfId="419" dataCellStyle="Moeda 2">
  <tableColumns count="16">
    <tableColumn id="1" xr3:uid="{00000000-0010-0000-0200-000001000000}" name="Nº" dataDxfId="418" totalsRowDxfId="417"/>
    <tableColumn id="17" xr3:uid="{00000000-0010-0000-0200-000011000000}" name="Nome" dataDxfId="416" totalsRowDxfId="415"/>
    <tableColumn id="2" xr3:uid="{00000000-0010-0000-0200-000002000000}" name="Cargo" dataDxfId="414" totalsRowDxfId="413"/>
    <tableColumn id="3" xr3:uid="{00000000-0010-0000-0200-000003000000}" name="Janeiro" dataDxfId="412" totalsRowDxfId="411" dataCellStyle="Moeda 2"/>
    <tableColumn id="4" xr3:uid="{00000000-0010-0000-0200-000004000000}" name="Fevereiro" dataDxfId="410" totalsRowDxfId="409" dataCellStyle="Moeda 2"/>
    <tableColumn id="5" xr3:uid="{00000000-0010-0000-0200-000005000000}" name="Março" dataDxfId="408" totalsRowDxfId="407" dataCellStyle="Moeda 2"/>
    <tableColumn id="6" xr3:uid="{00000000-0010-0000-0200-000006000000}" name="Abril" dataDxfId="406" totalsRowDxfId="405" dataCellStyle="Moeda 2"/>
    <tableColumn id="7" xr3:uid="{00000000-0010-0000-0200-000007000000}" name="Maio" dataDxfId="404" totalsRowDxfId="403" dataCellStyle="Moeda 2"/>
    <tableColumn id="8" xr3:uid="{00000000-0010-0000-0200-000008000000}" name="Junho" dataDxfId="402" totalsRowDxfId="401" dataCellStyle="Moeda 2"/>
    <tableColumn id="9" xr3:uid="{00000000-0010-0000-0200-000009000000}" name="Julho" dataDxfId="400" totalsRowDxfId="399" dataCellStyle="Moeda 2"/>
    <tableColumn id="10" xr3:uid="{00000000-0010-0000-0200-00000A000000}" name="Agosto" dataDxfId="398" totalsRowDxfId="397" dataCellStyle="Moeda 2"/>
    <tableColumn id="11" xr3:uid="{00000000-0010-0000-0200-00000B000000}" name="Setembro" dataDxfId="396" totalsRowDxfId="395" dataCellStyle="Moeda 2"/>
    <tableColumn id="12" xr3:uid="{00000000-0010-0000-0200-00000C000000}" name="Outubro" dataDxfId="394" totalsRowDxfId="393" dataCellStyle="Moeda 2"/>
    <tableColumn id="13" xr3:uid="{00000000-0010-0000-0200-00000D000000}" name="Novembro" dataDxfId="392" totalsRowDxfId="391" dataCellStyle="Moeda 2"/>
    <tableColumn id="14" xr3:uid="{00000000-0010-0000-0200-00000E000000}" name="Dezembro" dataDxfId="390" totalsRowDxfId="389" dataCellStyle="Moeda 2"/>
    <tableColumn id="15" xr3:uid="{00000000-0010-0000-0200-00000F000000}" name="Total" dataDxfId="388" totalsRowDxfId="387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aINSSPatronal" displayName="TabelaINSSPatronal" ref="A2:Q32" totalsRowShown="0" headerRowDxfId="233" dataDxfId="232" tableBorderDxfId="231" dataCellStyle="Moeda 2">
  <tableColumns count="17">
    <tableColumn id="1" xr3:uid="{00000000-0010-0000-0600-000001000000}" name="Nº" dataDxfId="230">
      <calculatedColumnFormula>TabelaSalarioBase[[#This Row],[Nº]]</calculatedColumnFormula>
    </tableColumn>
    <tableColumn id="17" xr3:uid="{00000000-0010-0000-0600-000011000000}" name="Nome" dataDxfId="229">
      <calculatedColumnFormula>TabelaSalarioBase[[#This Row],[Nome]]</calculatedColumnFormula>
    </tableColumn>
    <tableColumn id="2" xr3:uid="{00000000-0010-0000-0600-000002000000}" name="Cargo" dataDxfId="228">
      <calculatedColumnFormula>TabelaSalarioBase[[#This Row],[Cargo]]</calculatedColumnFormula>
    </tableColumn>
    <tableColumn id="16" xr3:uid="{00000000-0010-0000-0600-000010000000}" name="Alíquota" dataDxfId="227" dataCellStyle="Porcentagem"/>
    <tableColumn id="3" xr3:uid="{00000000-0010-0000-0600-000003000000}" name="Janeiro" dataDxfId="226" dataCellStyle="Moeda 2"/>
    <tableColumn id="4" xr3:uid="{00000000-0010-0000-0600-000004000000}" name="Fevereiro" dataDxfId="225" dataCellStyle="Moeda 2"/>
    <tableColumn id="5" xr3:uid="{00000000-0010-0000-0600-000005000000}" name="Março" dataDxfId="224" dataCellStyle="Moeda 2"/>
    <tableColumn id="6" xr3:uid="{00000000-0010-0000-0600-000006000000}" name="Abril" dataDxfId="223" dataCellStyle="Moeda 2"/>
    <tableColumn id="7" xr3:uid="{00000000-0010-0000-0600-000007000000}" name="Maio" dataDxfId="222" dataCellStyle="Moeda 2"/>
    <tableColumn id="8" xr3:uid="{00000000-0010-0000-0600-000008000000}" name="Junho" dataDxfId="221" dataCellStyle="Moeda 2"/>
    <tableColumn id="9" xr3:uid="{00000000-0010-0000-0600-000009000000}" name="Julho" dataDxfId="220" dataCellStyle="Moeda 2"/>
    <tableColumn id="10" xr3:uid="{00000000-0010-0000-0600-00000A000000}" name="Agosto" dataDxfId="219" dataCellStyle="Moeda 2"/>
    <tableColumn id="11" xr3:uid="{00000000-0010-0000-0600-00000B000000}" name="Setembro" dataDxfId="218" dataCellStyle="Moeda 2"/>
    <tableColumn id="12" xr3:uid="{00000000-0010-0000-0600-00000C000000}" name="Outubro" dataDxfId="217" dataCellStyle="Moeda 2"/>
    <tableColumn id="13" xr3:uid="{00000000-0010-0000-0600-00000D000000}" name="Novembro" dataDxfId="216" dataCellStyle="Moeda 2"/>
    <tableColumn id="14" xr3:uid="{00000000-0010-0000-0600-00000E000000}" name="Dezembro" dataDxfId="215" dataCellStyle="Moeda 2"/>
    <tableColumn id="15" xr3:uid="{00000000-0010-0000-0600-00000F000000}" name="Total" dataDxfId="214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PIS" displayName="TabelaPIS" ref="A2:Q32" totalsRowShown="0" headerRowDxfId="213" dataDxfId="212" tableBorderDxfId="211" dataCellStyle="Moeda 2">
  <tableColumns count="17">
    <tableColumn id="1" xr3:uid="{00000000-0010-0000-0700-000001000000}" name="Nº" dataDxfId="210">
      <calculatedColumnFormula>TabelaSalarioBase[[#This Row],[Nº]]</calculatedColumnFormula>
    </tableColumn>
    <tableColumn id="17" xr3:uid="{00000000-0010-0000-0700-000011000000}" name="Nome" dataDxfId="209">
      <calculatedColumnFormula>TabelaSalarioBase[[#This Row],[Nome]]</calculatedColumnFormula>
    </tableColumn>
    <tableColumn id="2" xr3:uid="{00000000-0010-0000-0700-000002000000}" name="Cargo" dataDxfId="208">
      <calculatedColumnFormula>TabelaSalarioBase[[#This Row],[Cargo]]</calculatedColumnFormula>
    </tableColumn>
    <tableColumn id="16" xr3:uid="{00000000-0010-0000-0700-000010000000}" name="Alíquota" dataDxfId="207" dataCellStyle="Porcentagem"/>
    <tableColumn id="3" xr3:uid="{00000000-0010-0000-0700-000003000000}" name="Janeiro" dataDxfId="206" dataCellStyle="Moeda 2"/>
    <tableColumn id="4" xr3:uid="{00000000-0010-0000-0700-000004000000}" name="Fevereiro" dataDxfId="205" dataCellStyle="Moeda 2"/>
    <tableColumn id="5" xr3:uid="{00000000-0010-0000-0700-000005000000}" name="Março" dataDxfId="204" dataCellStyle="Moeda 2"/>
    <tableColumn id="6" xr3:uid="{00000000-0010-0000-0700-000006000000}" name="Abril" dataDxfId="203" dataCellStyle="Moeda 2"/>
    <tableColumn id="7" xr3:uid="{00000000-0010-0000-0700-000007000000}" name="Maio" dataDxfId="202" dataCellStyle="Moeda 2"/>
    <tableColumn id="8" xr3:uid="{00000000-0010-0000-0700-000008000000}" name="Junho" dataDxfId="201" dataCellStyle="Moeda 2"/>
    <tableColumn id="9" xr3:uid="{00000000-0010-0000-0700-000009000000}" name="Julho" dataDxfId="200" dataCellStyle="Moeda 2"/>
    <tableColumn id="10" xr3:uid="{00000000-0010-0000-0700-00000A000000}" name="Agosto" dataDxfId="199" dataCellStyle="Moeda 2"/>
    <tableColumn id="11" xr3:uid="{00000000-0010-0000-0700-00000B000000}" name="Setembro" dataDxfId="198" dataCellStyle="Moeda 2"/>
    <tableColumn id="12" xr3:uid="{00000000-0010-0000-0700-00000C000000}" name="Outubro" dataDxfId="197" dataCellStyle="Moeda 2"/>
    <tableColumn id="13" xr3:uid="{00000000-0010-0000-0700-00000D000000}" name="Novembro" dataDxfId="196" dataCellStyle="Moeda 2"/>
    <tableColumn id="14" xr3:uid="{00000000-0010-0000-0700-00000E000000}" name="Dezembro" dataDxfId="195" dataCellStyle="Moeda 2"/>
    <tableColumn id="15" xr3:uid="{00000000-0010-0000-0700-00000F000000}" name="Total" dataDxfId="194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13Salario" displayName="Tabela13Salario" ref="A2:K32" totalsRowShown="0" headerRowDxfId="193" dataDxfId="192" tableBorderDxfId="191" dataCellStyle="Moeda 2">
  <tableColumns count="11">
    <tableColumn id="1" xr3:uid="{00000000-0010-0000-0800-000001000000}" name="Nº" dataDxfId="190">
      <calculatedColumnFormula>TabelaSalarioBase[[#This Row],[Nº]]</calculatedColumnFormula>
    </tableColumn>
    <tableColumn id="17" xr3:uid="{00000000-0010-0000-0800-000011000000}" name="Nome" dataDxfId="189">
      <calculatedColumnFormula>TabelaSalarioBase[[#This Row],[Nome]]</calculatedColumnFormula>
    </tableColumn>
    <tableColumn id="2" xr3:uid="{00000000-0010-0000-0800-000002000000}" name="Cargo" dataDxfId="188">
      <calculatedColumnFormula>TabelaSalarioBase[[#This Row],[Cargo]]</calculatedColumnFormula>
    </tableColumn>
    <tableColumn id="3" xr3:uid="{00000000-0010-0000-0800-000003000000}" name="Novembro" dataDxfId="187" dataCellStyle="Moeda 2"/>
    <tableColumn id="9" xr3:uid="{C697B61D-5EC8-4E67-9197-CFA92784DC2D}" name="Dezembro" dataDxfId="186" dataCellStyle="Moeda 2"/>
    <tableColumn id="4" xr3:uid="{00000000-0010-0000-0800-000004000000}" name="IRPF" dataDxfId="185" dataCellStyle="Moeda 2"/>
    <tableColumn id="5" xr3:uid="{00000000-0010-0000-0800-000005000000}" name="INSS" dataDxfId="184" dataCellStyle="Moeda 2"/>
    <tableColumn id="6" xr3:uid="{00000000-0010-0000-0800-000006000000}" name="FGTS" dataDxfId="183" dataCellStyle="Moeda 2"/>
    <tableColumn id="7" xr3:uid="{00000000-0010-0000-0800-000007000000}" name="INSS Patronal" dataDxfId="182" dataCellStyle="Moeda 2"/>
    <tableColumn id="8" xr3:uid="{00000000-0010-0000-0800-000008000000}" name="PIS" dataDxfId="181" dataCellStyle="Moeda 2"/>
    <tableColumn id="15" xr3:uid="{00000000-0010-0000-0800-00000F000000}" name="Total" dataDxfId="180" dataCellStyle="Moeda 2">
      <calculatedColumnFormula>SUM(D3:J3)</calculatedColumnFormula>
    </tableColumn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abelaFERIAS" displayName="TabelaFERIAS" ref="A2:K32" totalsRowShown="0" headerRowDxfId="179" dataDxfId="178" tableBorderDxfId="177" dataCellStyle="Moeda 2">
  <tableColumns count="11">
    <tableColumn id="1" xr3:uid="{00000000-0010-0000-0A00-000001000000}" name="Nº" dataDxfId="176">
      <calculatedColumnFormula>TabelaSalarioBase[[#This Row],[Nº]]</calculatedColumnFormula>
    </tableColumn>
    <tableColumn id="17" xr3:uid="{00000000-0010-0000-0A00-000011000000}" name="Nome" dataDxfId="175">
      <calculatedColumnFormula>TabelaSalarioBase[[#This Row],[Nome]]</calculatedColumnFormula>
    </tableColumn>
    <tableColumn id="2" xr3:uid="{00000000-0010-0000-0A00-000002000000}" name="Cargo" dataDxfId="174">
      <calculatedColumnFormula>TabelaSalarioBase[[#This Row],[Cargo]]</calculatedColumnFormula>
    </tableColumn>
    <tableColumn id="3" xr3:uid="{00000000-0010-0000-0A00-000003000000}" name="1/3 Férias" dataDxfId="173" dataCellStyle="Moeda 2"/>
    <tableColumn id="16" xr3:uid="{00000000-0010-0000-0A00-000010000000}" name="Parcela" dataDxfId="172" dataCellStyle="Moeda 2"/>
    <tableColumn id="4" xr3:uid="{00000000-0010-0000-0A00-000004000000}" name="IRPF" dataDxfId="171" dataCellStyle="Moeda 2"/>
    <tableColumn id="5" xr3:uid="{00000000-0010-0000-0A00-000005000000}" name="INSS" dataDxfId="170" dataCellStyle="Moeda 2"/>
    <tableColumn id="6" xr3:uid="{00000000-0010-0000-0A00-000006000000}" name="FGTS" dataDxfId="169" dataCellStyle="Moeda 2"/>
    <tableColumn id="7" xr3:uid="{00000000-0010-0000-0A00-000007000000}" name="INSS Patronal" dataDxfId="168" dataCellStyle="Moeda 2"/>
    <tableColumn id="8" xr3:uid="{00000000-0010-0000-0A00-000008000000}" name="PIS" dataDxfId="167" dataCellStyle="Moeda 2"/>
    <tableColumn id="15" xr3:uid="{00000000-0010-0000-0A00-00000F000000}" name="Total" dataDxfId="166" dataCellStyle="Moeda 2">
      <calculatedColumnFormula>SUM(D3:J3)</calculatedColumnFormula>
    </tableColumn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2CC8E8A-9593-47D5-84F0-F1BB52538663}" name="TabelaAvisoPrevio" displayName="TabelaAvisoPrevio" ref="A2:P32" totalsRowShown="0" headerRowDxfId="165" dataDxfId="164" tableBorderDxfId="163" dataCellStyle="Moeda 2">
  <tableColumns count="16">
    <tableColumn id="1" xr3:uid="{101747D0-3AE6-4BFB-B3FE-02B49C0D41CB}" name="Nº" dataDxfId="162">
      <calculatedColumnFormula>TabelaSalarioBase[[#This Row],[Nº]]</calculatedColumnFormula>
    </tableColumn>
    <tableColumn id="17" xr3:uid="{A760C7F6-A5B0-4AEC-A8DE-180766A79BEB}" name="Nome" dataDxfId="161">
      <calculatedColumnFormula>TabelaSalarioBase[[#This Row],[Nome]]</calculatedColumnFormula>
    </tableColumn>
    <tableColumn id="2" xr3:uid="{25CCB9F4-93F2-46CA-918B-76EB8A0C5417}" name="Cargo" dataDxfId="160">
      <calculatedColumnFormula>TabelaSalarioBase[[#This Row],[Cargo]]</calculatedColumnFormula>
    </tableColumn>
    <tableColumn id="3" xr3:uid="{D374E55B-D068-427A-A904-2309C2357B0E}" name="Janeiro" dataDxfId="159" dataCellStyle="Moeda 2"/>
    <tableColumn id="4" xr3:uid="{544E36CB-A0C0-4473-A10F-81718FD5D8D2}" name="Fevereiro" dataDxfId="158" dataCellStyle="Moeda 2"/>
    <tableColumn id="5" xr3:uid="{9C0B20CA-2191-45BE-99A6-E5FD989942B5}" name="Março" dataDxfId="157" dataCellStyle="Moeda 2"/>
    <tableColumn id="6" xr3:uid="{16105255-EF94-4BBC-B7A6-230C4961D1F1}" name="Abril" dataDxfId="156" dataCellStyle="Moeda 2"/>
    <tableColumn id="7" xr3:uid="{3D24313E-6596-4131-A147-F462E1F7E3D5}" name="Maio" dataDxfId="155" dataCellStyle="Moeda 2"/>
    <tableColumn id="8" xr3:uid="{6B9622B5-D2A8-4430-BF12-1E8043802610}" name="Junho" dataDxfId="154" dataCellStyle="Moeda 2"/>
    <tableColumn id="9" xr3:uid="{B1795853-B9EE-4C7E-AD42-52AF6E084D33}" name="Julho" dataDxfId="153" dataCellStyle="Moeda 2"/>
    <tableColumn id="10" xr3:uid="{EC566CCA-F92D-436F-A70B-3121338B1BF5}" name="Agosto" dataDxfId="152" dataCellStyle="Moeda 2"/>
    <tableColumn id="11" xr3:uid="{56127DEA-5088-4D95-8D3E-A25805EDE3B6}" name="Setembro" dataDxfId="151" dataCellStyle="Moeda 2"/>
    <tableColumn id="12" xr3:uid="{129D8A00-E986-490E-A7FC-D39D33AB9A47}" name="Outubro" dataDxfId="150" dataCellStyle="Moeda 2"/>
    <tableColumn id="13" xr3:uid="{D60EF38A-E127-40A2-B3A7-F083580B0BCB}" name="Novembro" dataDxfId="149" dataCellStyle="Moeda 2"/>
    <tableColumn id="14" xr3:uid="{421452BF-2A9F-49F8-AA0B-1C097B1FC033}" name="Dezembro" dataDxfId="148" dataCellStyle="Moeda 2"/>
    <tableColumn id="15" xr3:uid="{61AADA4E-CC94-4FFD-B2A5-3A1FA0C0A6D1}" name="Total" dataDxfId="147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MultaRescisoriaFGTS" displayName="TabelaMultaRescisoriaFGTS" ref="A2:P32" totalsRowShown="0" headerRowDxfId="146" dataDxfId="145" tableBorderDxfId="144" dataCellStyle="Moeda 2">
  <tableColumns count="16">
    <tableColumn id="1" xr3:uid="{00000000-0010-0000-0D00-000001000000}" name="Nº" dataDxfId="143">
      <calculatedColumnFormula>TabelaSalarioBase[[#This Row],[Nº]]</calculatedColumnFormula>
    </tableColumn>
    <tableColumn id="17" xr3:uid="{00000000-0010-0000-0D00-000011000000}" name="Nome" dataDxfId="142">
      <calculatedColumnFormula>TabelaSalarioBase[[#This Row],[Nome]]</calculatedColumnFormula>
    </tableColumn>
    <tableColumn id="2" xr3:uid="{00000000-0010-0000-0D00-000002000000}" name="Cargo" dataDxfId="141">
      <calculatedColumnFormula>TabelaSalarioBase[[#This Row],[Cargo]]</calculatedColumnFormula>
    </tableColumn>
    <tableColumn id="3" xr3:uid="{00000000-0010-0000-0D00-000003000000}" name="Janeiro" dataDxfId="140" dataCellStyle="Moeda 2"/>
    <tableColumn id="4" xr3:uid="{00000000-0010-0000-0D00-000004000000}" name="Fevereiro" dataDxfId="139" dataCellStyle="Moeda 2"/>
    <tableColumn id="5" xr3:uid="{00000000-0010-0000-0D00-000005000000}" name="Março" dataDxfId="138" dataCellStyle="Moeda 2"/>
    <tableColumn id="6" xr3:uid="{00000000-0010-0000-0D00-000006000000}" name="Abril" dataDxfId="137" dataCellStyle="Moeda 2"/>
    <tableColumn id="7" xr3:uid="{00000000-0010-0000-0D00-000007000000}" name="Maio" dataDxfId="136" dataCellStyle="Moeda 2"/>
    <tableColumn id="8" xr3:uid="{00000000-0010-0000-0D00-000008000000}" name="Junho" dataDxfId="135" dataCellStyle="Moeda 2"/>
    <tableColumn id="9" xr3:uid="{00000000-0010-0000-0D00-000009000000}" name="Julho" dataDxfId="134" dataCellStyle="Moeda 2"/>
    <tableColumn id="10" xr3:uid="{00000000-0010-0000-0D00-00000A000000}" name="Agosto" dataDxfId="133" dataCellStyle="Moeda 2"/>
    <tableColumn id="11" xr3:uid="{00000000-0010-0000-0D00-00000B000000}" name="Setembro" dataDxfId="132" dataCellStyle="Moeda 2"/>
    <tableColumn id="12" xr3:uid="{00000000-0010-0000-0D00-00000C000000}" name="Outubro" dataDxfId="131" dataCellStyle="Moeda 2"/>
    <tableColumn id="13" xr3:uid="{00000000-0010-0000-0D00-00000D000000}" name="Novembro" dataDxfId="130" dataCellStyle="Moeda 2"/>
    <tableColumn id="14" xr3:uid="{00000000-0010-0000-0D00-00000E000000}" name="Dezembro" dataDxfId="129" dataCellStyle="Moeda 2"/>
    <tableColumn id="15" xr3:uid="{00000000-0010-0000-0D00-00000F000000}" name="Total" dataDxfId="128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F6B4C7-9B00-484D-8B19-AAA0643D6AA0}" name="TabelaEstagiarios" displayName="TabelaEstagiarios" ref="A2:O32" totalsRowShown="0" headerRowDxfId="127" dataDxfId="126" tableBorderDxfId="125" dataCellStyle="Moeda 2">
  <tableColumns count="15">
    <tableColumn id="1" xr3:uid="{A05FEDCA-CDA0-4662-962D-4AF2F53EA6F5}" name="Nº" dataDxfId="124">
      <calculatedColumnFormula>TabelaSalarioBase[[#This Row],[Nº]]</calculatedColumnFormula>
    </tableColumn>
    <tableColumn id="17" xr3:uid="{5D6E1DE7-16A3-4A9D-90CB-AD19E51E60C9}" name="Nome" dataDxfId="123"/>
    <tableColumn id="3" xr3:uid="{B3B4C9BF-5CA5-4B5C-855F-19CFAF0B3CB1}" name="Janeiro" dataDxfId="122" dataCellStyle="Moeda 2"/>
    <tableColumn id="4" xr3:uid="{A3B281DF-FFCC-4C5B-8D43-8362CD1FDDAC}" name="Fevereiro" dataDxfId="121" dataCellStyle="Moeda 2"/>
    <tableColumn id="5" xr3:uid="{E4FE5027-81A2-4DC7-B4BE-8ACFA5824225}" name="Março" dataDxfId="120" dataCellStyle="Moeda 2"/>
    <tableColumn id="6" xr3:uid="{107F2693-C763-43B4-8A89-B9F4EC4C7F56}" name="Abril" dataDxfId="119" dataCellStyle="Moeda 2"/>
    <tableColumn id="7" xr3:uid="{E1FCD97F-6D98-4BF6-99B9-F21DFC0071AD}" name="Maio" dataDxfId="118" dataCellStyle="Moeda 2"/>
    <tableColumn id="8" xr3:uid="{73EEDCA4-6A42-48C3-8953-7289D6116FBE}" name="Junho" dataDxfId="117" dataCellStyle="Moeda 2"/>
    <tableColumn id="9" xr3:uid="{AD57B981-BA2E-4193-B724-39C3958BAC5E}" name="Julho" dataDxfId="116" dataCellStyle="Moeda 2"/>
    <tableColumn id="10" xr3:uid="{FFCDFC32-F2AF-4556-8374-B40912A630C4}" name="Agosto" dataDxfId="115" dataCellStyle="Moeda 2"/>
    <tableColumn id="11" xr3:uid="{DB41F0A4-36EC-4367-BFEC-F0ED9601B35E}" name="Setembro" dataDxfId="114" dataCellStyle="Moeda 2"/>
    <tableColumn id="12" xr3:uid="{E3B00F89-25B5-401F-B976-B1054D150E91}" name="Outubro" dataDxfId="113" dataCellStyle="Moeda 2"/>
    <tableColumn id="13" xr3:uid="{881F156E-2A09-4AAC-AE86-D6CD110489BE}" name="Novembro" dataDxfId="112" dataCellStyle="Moeda 2"/>
    <tableColumn id="14" xr3:uid="{63C09641-85A1-4409-98A0-9C9F90C7661A}" name="Dezembro" dataDxfId="111" dataCellStyle="Moeda 2"/>
    <tableColumn id="15" xr3:uid="{F9282ED1-F9E3-46E2-96C0-41280AAB2796}" name="Total" dataDxfId="110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3DDC1-5428-4A0C-A261-E280CB88CFFB}" name="TabelaGenerosAlimenticios" displayName="TabelaGenerosAlimenticios" ref="A2:O12" totalsRowShown="0" headerRowDxfId="109" dataDxfId="108" tableBorderDxfId="107" dataCellStyle="Moeda 2">
  <tableColumns count="15">
    <tableColumn id="1" xr3:uid="{1F139568-2DF8-4DD5-9F02-DCAC9EF4C688}" name="Nº" dataDxfId="106">
      <calculatedColumnFormula>TabelaSalarioBase[[#This Row],[Nº]]</calculatedColumnFormula>
    </tableColumn>
    <tableColumn id="16" xr3:uid="{2DF56355-40BA-450A-8CAE-4D1965B84687}" name="Descrição" dataDxfId="105"/>
    <tableColumn id="3" xr3:uid="{03B03B24-C4C3-4124-94ED-19F35743D703}" name="Janeiro" dataDxfId="104" dataCellStyle="Moeda 2"/>
    <tableColumn id="4" xr3:uid="{F578CB3B-B8DD-4E65-9A58-B2B333D59B11}" name="Fevereiro" dataDxfId="103" dataCellStyle="Moeda 2"/>
    <tableColumn id="5" xr3:uid="{4D352AD1-96A7-4870-AFFA-C30AAF59EE73}" name="Março" dataDxfId="102" dataCellStyle="Moeda 2"/>
    <tableColumn id="6" xr3:uid="{2EE6CD73-4763-4BB3-84E3-230BC238E0B1}" name="Abril" dataDxfId="101" dataCellStyle="Moeda 2"/>
    <tableColumn id="7" xr3:uid="{F520BC6E-8F47-4DA8-94AD-9B377B3BAA6B}" name="Maio" dataDxfId="100" dataCellStyle="Moeda 2"/>
    <tableColumn id="8" xr3:uid="{92C7189C-4223-4784-8904-734E3A0B87B0}" name="Junho" dataDxfId="99" dataCellStyle="Moeda 2"/>
    <tableColumn id="9" xr3:uid="{FC0246CE-A91F-466F-8274-3A8702584AE0}" name="Julho" dataDxfId="98" dataCellStyle="Moeda 2"/>
    <tableColumn id="10" xr3:uid="{88B5881E-2374-4DEE-BF64-FB431BAC7F3F}" name="Agosto" dataDxfId="97" dataCellStyle="Moeda 2"/>
    <tableColumn id="11" xr3:uid="{5F6BF65F-897F-49A7-B06D-7418CE57AF82}" name="Setembro" dataDxfId="96" dataCellStyle="Moeda 2"/>
    <tableColumn id="12" xr3:uid="{AAB83010-9FE9-4DFC-ACDB-12F496CB9827}" name="Outubro" dataDxfId="95" dataCellStyle="Moeda 2"/>
    <tableColumn id="13" xr3:uid="{D57BC9ED-E794-444C-BF75-DBD87C66841F}" name="Novembro" dataDxfId="94" dataCellStyle="Moeda 2"/>
    <tableColumn id="14" xr3:uid="{AAAB571C-02EB-4B1E-BCCD-A99F11E88A7D}" name="Dezembro" dataDxfId="93" dataCellStyle="Moeda 2"/>
    <tableColumn id="15" xr3:uid="{1760B03D-2D7E-4109-B3CD-EACB6BEDCF8D}" name="Total" dataDxfId="92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F000000}" name="TabelaGastosAdministrativos" displayName="TabelaGastosAdministrativos" ref="A2:P12" totalsRowShown="0" headerRowDxfId="91" dataDxfId="90" tableBorderDxfId="89" dataCellStyle="Moeda 2">
  <tableColumns count="16">
    <tableColumn id="1" xr3:uid="{00000000-0010-0000-0F00-000001000000}" name="Nº" dataDxfId="88">
      <calculatedColumnFormula>TabelaSalarioBase[[#This Row],[Nº]]</calculatedColumnFormula>
    </tableColumn>
    <tableColumn id="16" xr3:uid="{00000000-0010-0000-0F00-000010000000}" name="Descrição" dataDxfId="87"/>
    <tableColumn id="17" xr3:uid="{00000000-0010-0000-0F00-000011000000}" name="Classificação" dataDxfId="86"/>
    <tableColumn id="3" xr3:uid="{00000000-0010-0000-0F00-000003000000}" name="Janeiro" dataDxfId="85" dataCellStyle="Moeda 2"/>
    <tableColumn id="4" xr3:uid="{00000000-0010-0000-0F00-000004000000}" name="Fevereiro" dataDxfId="84" dataCellStyle="Moeda 2"/>
    <tableColumn id="5" xr3:uid="{00000000-0010-0000-0F00-000005000000}" name="Março" dataDxfId="83" dataCellStyle="Moeda 2"/>
    <tableColumn id="6" xr3:uid="{00000000-0010-0000-0F00-000006000000}" name="Abril" dataDxfId="82" dataCellStyle="Moeda 2"/>
    <tableColumn id="7" xr3:uid="{00000000-0010-0000-0F00-000007000000}" name="Maio" dataDxfId="81" dataCellStyle="Moeda 2"/>
    <tableColumn id="8" xr3:uid="{00000000-0010-0000-0F00-000008000000}" name="Junho" dataDxfId="80" dataCellStyle="Moeda 2"/>
    <tableColumn id="9" xr3:uid="{00000000-0010-0000-0F00-000009000000}" name="Julho" dataDxfId="79" dataCellStyle="Moeda 2"/>
    <tableColumn id="10" xr3:uid="{00000000-0010-0000-0F00-00000A000000}" name="Agosto" dataDxfId="78" dataCellStyle="Moeda 2"/>
    <tableColumn id="11" xr3:uid="{00000000-0010-0000-0F00-00000B000000}" name="Setembro" dataDxfId="77" dataCellStyle="Moeda 2"/>
    <tableColumn id="12" xr3:uid="{00000000-0010-0000-0F00-00000C000000}" name="Outubro" dataDxfId="76" dataCellStyle="Moeda 2"/>
    <tableColumn id="13" xr3:uid="{00000000-0010-0000-0F00-00000D000000}" name="Novembro" dataDxfId="75" dataCellStyle="Moeda 2"/>
    <tableColumn id="14" xr3:uid="{00000000-0010-0000-0F00-00000E000000}" name="Dezembro" dataDxfId="74" dataCellStyle="Moeda 2"/>
    <tableColumn id="15" xr3:uid="{00000000-0010-0000-0F00-00000F000000}" name="Total" dataDxfId="73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0000000}" name="TabelaServicosTerceiros" displayName="TabelaServicosTerceiros" ref="A2:P12" totalsRowShown="0" headerRowDxfId="72" dataDxfId="71" tableBorderDxfId="70" dataCellStyle="Moeda 2">
  <tableColumns count="16">
    <tableColumn id="1" xr3:uid="{00000000-0010-0000-1000-000001000000}" name="Nº" dataDxfId="69">
      <calculatedColumnFormula>TabelaSalarioBase[[#This Row],[Nº]]</calculatedColumnFormula>
    </tableColumn>
    <tableColumn id="16" xr3:uid="{00000000-0010-0000-1000-000010000000}" name="Descrição" dataDxfId="68"/>
    <tableColumn id="17" xr3:uid="{00000000-0010-0000-1000-000011000000}" name="Classificação" dataDxfId="67"/>
    <tableColumn id="3" xr3:uid="{00000000-0010-0000-1000-000003000000}" name="Janeiro" dataDxfId="66" dataCellStyle="Moeda 2"/>
    <tableColumn id="4" xr3:uid="{00000000-0010-0000-1000-000004000000}" name="Fevereiro" dataDxfId="65" dataCellStyle="Moeda 2"/>
    <tableColumn id="5" xr3:uid="{00000000-0010-0000-1000-000005000000}" name="Março" dataDxfId="64" dataCellStyle="Moeda 2"/>
    <tableColumn id="6" xr3:uid="{00000000-0010-0000-1000-000006000000}" name="Abril" dataDxfId="63" dataCellStyle="Moeda 2"/>
    <tableColumn id="7" xr3:uid="{00000000-0010-0000-1000-000007000000}" name="Maio" dataDxfId="62" dataCellStyle="Moeda 2"/>
    <tableColumn id="8" xr3:uid="{00000000-0010-0000-1000-000008000000}" name="Junho" dataDxfId="61" dataCellStyle="Moeda 2"/>
    <tableColumn id="9" xr3:uid="{00000000-0010-0000-1000-000009000000}" name="Julho" dataDxfId="60" dataCellStyle="Moeda 2"/>
    <tableColumn id="10" xr3:uid="{00000000-0010-0000-1000-00000A000000}" name="Agosto" dataDxfId="59" dataCellStyle="Moeda 2"/>
    <tableColumn id="11" xr3:uid="{00000000-0010-0000-1000-00000B000000}" name="Setembro" dataDxfId="58" dataCellStyle="Moeda 2"/>
    <tableColumn id="12" xr3:uid="{00000000-0010-0000-1000-00000C000000}" name="Outubro" dataDxfId="57" dataCellStyle="Moeda 2"/>
    <tableColumn id="13" xr3:uid="{00000000-0010-0000-1000-00000D000000}" name="Novembro" dataDxfId="56" dataCellStyle="Moeda 2"/>
    <tableColumn id="14" xr3:uid="{00000000-0010-0000-1000-00000E000000}" name="Dezembro" dataDxfId="55" dataCellStyle="Moeda 2"/>
    <tableColumn id="15" xr3:uid="{00000000-0010-0000-1000-00000F000000}" name="Total" dataDxfId="54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9F2F054-4F08-4907-A422-1C5D1D5AB33B}" name="TabelaVA" displayName="TabelaVA" ref="A2:P32" totalsRowShown="0" headerRowDxfId="386" dataDxfId="385" tableBorderDxfId="384" dataCellStyle="Moeda 2">
  <tableColumns count="16">
    <tableColumn id="1" xr3:uid="{D3576251-5D60-40D8-8970-617346A501DC}" name="Nº" dataDxfId="383">
      <calculatedColumnFormula>TabelaSalarioBase[[#This Row],[Nº]]</calculatedColumnFormula>
    </tableColumn>
    <tableColumn id="17" xr3:uid="{DA0D6D65-797D-4EFD-949B-41C131232649}" name="Nome" dataDxfId="382">
      <calculatedColumnFormula>TabelaSalarioBase[[#This Row],[Nome]]</calculatedColumnFormula>
    </tableColumn>
    <tableColumn id="2" xr3:uid="{2C551F4A-226F-4666-9231-C741E584CCB7}" name="Cargo" dataDxfId="381">
      <calculatedColumnFormula>TabelaSalarioBase[[#This Row],[Cargo]]</calculatedColumnFormula>
    </tableColumn>
    <tableColumn id="3" xr3:uid="{81DE6093-733A-4EB4-8FEA-439C81B7BD20}" name="Janeiro" dataDxfId="380" dataCellStyle="Moeda 2"/>
    <tableColumn id="4" xr3:uid="{4495776E-65D2-45DB-9602-3D24F637B390}" name="Fevereiro" dataDxfId="379" dataCellStyle="Moeda 2"/>
    <tableColumn id="5" xr3:uid="{02BF237D-2CEF-4C5A-BAEF-15D72D7D5BCB}" name="Março" dataDxfId="378" dataCellStyle="Moeda 2"/>
    <tableColumn id="6" xr3:uid="{2D31E5DC-0434-431B-8427-440E2AE70125}" name="Abril" dataDxfId="377" dataCellStyle="Moeda 2"/>
    <tableColumn id="7" xr3:uid="{4C0784DF-9EB5-4CE0-89C7-6FC4C6B19E04}" name="Maio" dataDxfId="376" dataCellStyle="Moeda 2"/>
    <tableColumn id="8" xr3:uid="{5770CF5C-59DF-4333-AA91-CA97FB4E48E4}" name="Junho" dataDxfId="375" dataCellStyle="Moeda 2"/>
    <tableColumn id="9" xr3:uid="{10F35071-C1CE-4FF6-BFD1-03F0E2005CDB}" name="Julho" dataDxfId="374" dataCellStyle="Moeda 2"/>
    <tableColumn id="10" xr3:uid="{664219E0-C2B1-4536-BB7F-D902A10E4856}" name="Agosto" dataDxfId="373" dataCellStyle="Moeda 2"/>
    <tableColumn id="11" xr3:uid="{E17338BD-F0CA-4014-8429-14C442E3DA1E}" name="Setembro" dataDxfId="372" dataCellStyle="Moeda 2"/>
    <tableColumn id="12" xr3:uid="{03B7EE8A-0FBB-4EF0-89AF-248C585CEED0}" name="Outubro" dataDxfId="371" dataCellStyle="Moeda 2"/>
    <tableColumn id="13" xr3:uid="{94C904A6-AD7A-4883-AC57-4D2B4D331B7C}" name="Novembro" dataDxfId="370" dataCellStyle="Moeda 2"/>
    <tableColumn id="14" xr3:uid="{AEFED680-EFF6-4D4D-90FD-8EA3A4A14826}" name="Dezembro" dataDxfId="369" dataCellStyle="Moeda 2"/>
    <tableColumn id="15" xr3:uid="{BA791046-8A55-4194-A4C0-C1E3102B486C}" name="Total" dataDxfId="368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F722238-7E8C-4FA4-B7B4-A8D2EA6CB7FD}" name="TabelaMateriais" displayName="TabelaMateriais" ref="A2:P12" totalsRowShown="0" headerRowDxfId="53" dataDxfId="52" tableBorderDxfId="51" dataCellStyle="Moeda 2">
  <tableColumns count="16">
    <tableColumn id="1" xr3:uid="{5A61F210-BE13-4C32-BE53-909036EB7C93}" name="Nº" dataDxfId="50">
      <calculatedColumnFormula>TabelaSalarioBase[[#This Row],[Nº]]</calculatedColumnFormula>
    </tableColumn>
    <tableColumn id="16" xr3:uid="{FF932B02-59F8-45F5-9F71-690CB6A4A8D7}" name="Descrição" dataDxfId="49"/>
    <tableColumn id="17" xr3:uid="{832ED3D2-D751-41D8-98B1-6A794FAAEBC4}" name="Classificação" dataDxfId="48"/>
    <tableColumn id="3" xr3:uid="{661D7112-5301-41A6-8F29-E95EC4FEE98B}" name="Janeiro" dataDxfId="47" dataCellStyle="Moeda 2"/>
    <tableColumn id="4" xr3:uid="{BB57BCE4-3F21-4BAC-8246-AB9EB895F417}" name="Fevereiro" dataDxfId="46" dataCellStyle="Moeda 2"/>
    <tableColumn id="5" xr3:uid="{9F9E2043-7308-46F1-90EA-A98466665F49}" name="Março" dataDxfId="45" dataCellStyle="Moeda 2"/>
    <tableColumn id="6" xr3:uid="{9139FE23-CB6B-459C-8254-283FB9246A6F}" name="Abril" dataDxfId="44" dataCellStyle="Moeda 2"/>
    <tableColumn id="7" xr3:uid="{31506E17-6742-463D-A236-EC0FC4B9E917}" name="Maio" dataDxfId="43" dataCellStyle="Moeda 2"/>
    <tableColumn id="8" xr3:uid="{D708CA0F-24EE-473C-BE42-F84494BD2438}" name="Junho" dataDxfId="42" dataCellStyle="Moeda 2"/>
    <tableColumn id="9" xr3:uid="{49A0FF78-5BB5-4160-87FD-65025EB19038}" name="Julho" dataDxfId="41" dataCellStyle="Moeda 2"/>
    <tableColumn id="10" xr3:uid="{56BD2A67-530F-4A65-81BD-380AB7AB6ED4}" name="Agosto" dataDxfId="40" dataCellStyle="Moeda 2"/>
    <tableColumn id="11" xr3:uid="{7DC6F612-3355-4506-ABA1-2836993569DF}" name="Setembro" dataDxfId="39" dataCellStyle="Moeda 2"/>
    <tableColumn id="12" xr3:uid="{C7F084C3-F65A-4934-A777-CE174AEDF0D3}" name="Outubro" dataDxfId="38" dataCellStyle="Moeda 2"/>
    <tableColumn id="13" xr3:uid="{3D700DB6-461B-46A3-8DF9-A50BE151D9C9}" name="Novembro" dataDxfId="37" dataCellStyle="Moeda 2"/>
    <tableColumn id="14" xr3:uid="{A669434C-0756-48D8-A1D4-ECB88AAA0131}" name="Dezembro" dataDxfId="36" dataCellStyle="Moeda 2"/>
    <tableColumn id="15" xr3:uid="{4D7B9398-29AF-453A-9024-9FA958851617}" name="Total" dataDxfId="35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TabelaDiversos" displayName="TabelaDiversos" ref="A2:O12" totalsRowShown="0" headerRowDxfId="34" dataDxfId="33" tableBorderDxfId="32" dataCellStyle="Moeda 2">
  <tableColumns count="15">
    <tableColumn id="1" xr3:uid="{00000000-0010-0000-1300-000001000000}" name="Nº" dataDxfId="31">
      <calculatedColumnFormula>TabelaSalarioBase[[#This Row],[Nº]]</calculatedColumnFormula>
    </tableColumn>
    <tableColumn id="17" xr3:uid="{00000000-0010-0000-1300-000011000000}" name="Descrição" dataDxfId="30"/>
    <tableColumn id="3" xr3:uid="{00000000-0010-0000-1300-000003000000}" name="Janeiro" dataDxfId="29" dataCellStyle="Moeda 2"/>
    <tableColumn id="4" xr3:uid="{00000000-0010-0000-1300-000004000000}" name="Fevereiro" dataDxfId="28" dataCellStyle="Moeda 2"/>
    <tableColumn id="5" xr3:uid="{00000000-0010-0000-1300-000005000000}" name="Março" dataDxfId="27" dataCellStyle="Moeda 2"/>
    <tableColumn id="6" xr3:uid="{00000000-0010-0000-1300-000006000000}" name="Abril" dataDxfId="26" dataCellStyle="Moeda 2"/>
    <tableColumn id="7" xr3:uid="{00000000-0010-0000-1300-000007000000}" name="Maio" dataDxfId="25" dataCellStyle="Moeda 2"/>
    <tableColumn id="8" xr3:uid="{00000000-0010-0000-1300-000008000000}" name="Junho" dataDxfId="24" dataCellStyle="Moeda 2"/>
    <tableColumn id="9" xr3:uid="{00000000-0010-0000-1300-000009000000}" name="Julho" dataDxfId="23" dataCellStyle="Moeda 2"/>
    <tableColumn id="10" xr3:uid="{00000000-0010-0000-1300-00000A000000}" name="Agosto" dataDxfId="22" dataCellStyle="Moeda 2"/>
    <tableColumn id="11" xr3:uid="{00000000-0010-0000-1300-00000B000000}" name="Setembro" dataDxfId="21" dataCellStyle="Moeda 2"/>
    <tableColumn id="12" xr3:uid="{00000000-0010-0000-1300-00000C000000}" name="Outubro" dataDxfId="20" dataCellStyle="Moeda 2"/>
    <tableColumn id="13" xr3:uid="{00000000-0010-0000-1300-00000D000000}" name="Novembro" dataDxfId="19" dataCellStyle="Moeda 2"/>
    <tableColumn id="14" xr3:uid="{00000000-0010-0000-1300-00000E000000}" name="Dezembro" dataDxfId="18" dataCellStyle="Moeda 2"/>
    <tableColumn id="15" xr3:uid="{00000000-0010-0000-1300-00000F000000}" name="Total" dataDxfId="17" dataCellStyle="Moeda 2">
      <calculatedColumnFormula>SUM(C3:N3)</calculatedColumnFormula>
    </tableColumn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8000000}" name="TabelaTotal" displayName="TabelaTotal" ref="B3:O27" totalsRowShown="0" headerRowDxfId="16" dataDxfId="15" tableBorderDxfId="14" dataCellStyle="Moeda 2">
  <tableColumns count="14">
    <tableColumn id="16" xr3:uid="{00000000-0010-0000-1800-000010000000}" name="Classificação" dataDxfId="13"/>
    <tableColumn id="3" xr3:uid="{00000000-0010-0000-1800-000003000000}" name="Janeiro" dataDxfId="12" dataCellStyle="Moeda 2">
      <calculatedColumnFormula>SUM(TabelaSalarioBase[Janeiro])</calculatedColumnFormula>
    </tableColumn>
    <tableColumn id="4" xr3:uid="{00000000-0010-0000-1800-000004000000}" name="Fevereiro" dataDxfId="11" dataCellStyle="Moeda 2"/>
    <tableColumn id="5" xr3:uid="{00000000-0010-0000-1800-000005000000}" name="Março" dataDxfId="10" dataCellStyle="Moeda 2"/>
    <tableColumn id="6" xr3:uid="{00000000-0010-0000-1800-000006000000}" name="Abril" dataDxfId="9" dataCellStyle="Moeda 2"/>
    <tableColumn id="7" xr3:uid="{00000000-0010-0000-1800-000007000000}" name="Maio" dataDxfId="8" dataCellStyle="Moeda 2"/>
    <tableColumn id="8" xr3:uid="{00000000-0010-0000-1800-000008000000}" name="Junho" dataDxfId="7" dataCellStyle="Moeda 2"/>
    <tableColumn id="9" xr3:uid="{00000000-0010-0000-1800-000009000000}" name="Julho" dataDxfId="6" dataCellStyle="Moeda 2"/>
    <tableColumn id="10" xr3:uid="{00000000-0010-0000-1800-00000A000000}" name="Agosto" dataDxfId="5" dataCellStyle="Moeda 2"/>
    <tableColumn id="11" xr3:uid="{00000000-0010-0000-1800-00000B000000}" name="Setembro" dataDxfId="4" dataCellStyle="Moeda 2"/>
    <tableColumn id="12" xr3:uid="{00000000-0010-0000-1800-00000C000000}" name="Outubro" dataDxfId="3" dataCellStyle="Moeda 2"/>
    <tableColumn id="13" xr3:uid="{00000000-0010-0000-1800-00000D000000}" name="Novembro" dataDxfId="2" dataCellStyle="Moeda 2"/>
    <tableColumn id="14" xr3:uid="{00000000-0010-0000-1800-00000E000000}" name="Dezembro" dataDxfId="1" dataCellStyle="Moeda 2"/>
    <tableColumn id="15" xr3:uid="{00000000-0010-0000-1800-00000F000000}" name="Total" dataDxfId="0" dataCellStyle="Moeda 2">
      <calculatedColumnFormula>SUM(C4:N4)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A05612E-5C1B-4DD6-A3E7-FCCAC4CC3439}" name="TabelaVR" displayName="TabelaVR" ref="A2:P32" totalsRowShown="0" headerRowDxfId="367" dataDxfId="366" tableBorderDxfId="365" dataCellStyle="Moeda 2">
  <tableColumns count="16">
    <tableColumn id="1" xr3:uid="{566FCFA9-8EA5-4ACA-AAE6-36DBFB1E5E94}" name="Nº" dataDxfId="364">
      <calculatedColumnFormula>TabelaSalarioBase[[#This Row],[Nº]]</calculatedColumnFormula>
    </tableColumn>
    <tableColumn id="17" xr3:uid="{59997CCB-E9E0-4D7E-A742-C5172C110B34}" name="Nome" dataDxfId="363">
      <calculatedColumnFormula>TabelaSalarioBase[[#This Row],[Nome]]</calculatedColumnFormula>
    </tableColumn>
    <tableColumn id="2" xr3:uid="{0E4DE4F1-2630-4019-8C56-1568197E7B92}" name="Cargo" dataDxfId="362">
      <calculatedColumnFormula>TabelaSalarioBase[[#This Row],[Cargo]]</calculatedColumnFormula>
    </tableColumn>
    <tableColumn id="3" xr3:uid="{098F9500-9A4D-449E-A2EC-8CBD47A077DE}" name="Janeiro" dataDxfId="361" dataCellStyle="Moeda 2"/>
    <tableColumn id="4" xr3:uid="{BD7A129B-3075-406A-84BD-1D2EB54C6057}" name="Fevereiro" dataDxfId="360" dataCellStyle="Moeda 2"/>
    <tableColumn id="5" xr3:uid="{DDA513CA-1018-4B46-883D-C85D2A5838A9}" name="Março" dataDxfId="359" dataCellStyle="Moeda 2"/>
    <tableColumn id="6" xr3:uid="{2572533C-4D2C-429C-A260-71EBC8299977}" name="Abril" dataDxfId="358" dataCellStyle="Moeda 2"/>
    <tableColumn id="7" xr3:uid="{58F5DF69-DE8B-4F10-86AB-2BA887F653F9}" name="Maio" dataDxfId="357" dataCellStyle="Moeda 2"/>
    <tableColumn id="8" xr3:uid="{E180918B-8633-475A-951B-427823D7835B}" name="Junho" dataDxfId="356" dataCellStyle="Moeda 2"/>
    <tableColumn id="9" xr3:uid="{EA49F7BA-974B-4EC4-87A7-8E08731AD3BE}" name="Julho" dataDxfId="355" dataCellStyle="Moeda 2"/>
    <tableColumn id="10" xr3:uid="{B048A9D9-D0C4-41E5-B157-F9AF658AE91F}" name="Agosto" dataDxfId="354" dataCellStyle="Moeda 2"/>
    <tableColumn id="11" xr3:uid="{A651E044-8771-440B-AA5F-15EAD7ABDAB5}" name="Setembro" dataDxfId="353" dataCellStyle="Moeda 2"/>
    <tableColumn id="12" xr3:uid="{AB41445A-F859-4E33-BD74-B49EA512679C}" name="Outubro" dataDxfId="352" dataCellStyle="Moeda 2"/>
    <tableColumn id="13" xr3:uid="{E7648E6A-281D-460A-ABCA-903BC90B372F}" name="Novembro" dataDxfId="351" dataCellStyle="Moeda 2"/>
    <tableColumn id="14" xr3:uid="{AA2CEB31-B913-4B8C-8823-CEFFCE6079D6}" name="Dezembro" dataDxfId="350" dataCellStyle="Moeda 2"/>
    <tableColumn id="15" xr3:uid="{BC2EF039-771C-454C-8CCF-C53C3DD4D178}" name="Total" dataDxfId="349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05B5D4-C7AF-4B7E-846F-869751344ACA}" name="TabelaVT" displayName="TabelaVT" ref="A2:P32" totalsRowShown="0" headerRowDxfId="348" dataDxfId="347" tableBorderDxfId="346" dataCellStyle="Moeda 2">
  <tableColumns count="16">
    <tableColumn id="1" xr3:uid="{F09DFD8B-5D15-432C-A4C9-6305F29EDFF5}" name="Nº" dataDxfId="345">
      <calculatedColumnFormula>TabelaSalarioBase[[#This Row],[Nº]]</calculatedColumnFormula>
    </tableColumn>
    <tableColumn id="17" xr3:uid="{B62AC04B-6F12-49C6-843F-401ADFB55ABE}" name="Nome" dataDxfId="344">
      <calculatedColumnFormula>TabelaSalarioBase[[#This Row],[Nome]]</calculatedColumnFormula>
    </tableColumn>
    <tableColumn id="2" xr3:uid="{1A247422-4840-4C42-A2BF-678438DE9DB4}" name="Cargo" dataDxfId="343">
      <calculatedColumnFormula>TabelaSalarioBase[[#This Row],[Cargo]]</calculatedColumnFormula>
    </tableColumn>
    <tableColumn id="3" xr3:uid="{A9105800-4CE9-459A-A3F1-681E283D89D9}" name="Janeiro" dataDxfId="342" dataCellStyle="Moeda 2"/>
    <tableColumn id="4" xr3:uid="{9A27936E-B9FA-4C6D-91D8-89766DF52243}" name="Fevereiro" dataDxfId="341" dataCellStyle="Moeda 2"/>
    <tableColumn id="5" xr3:uid="{B5F331FE-6B3A-40C8-A240-5BCA5239D703}" name="Março" dataDxfId="340" dataCellStyle="Moeda 2"/>
    <tableColumn id="6" xr3:uid="{589BBA3E-6AEE-4AC8-B18B-791569806AC2}" name="Abril" dataDxfId="339" dataCellStyle="Moeda 2"/>
    <tableColumn id="7" xr3:uid="{852F7810-0675-40D7-BC9B-3B5CC1EACE21}" name="Maio" dataDxfId="338" dataCellStyle="Moeda 2"/>
    <tableColumn id="8" xr3:uid="{E34B241E-1AA3-4CBD-8BDA-ED01801D917B}" name="Junho" dataDxfId="337" dataCellStyle="Moeda 2"/>
    <tableColumn id="9" xr3:uid="{A5C4EFF1-8647-4F5A-BEFD-6269AC811B98}" name="Julho" dataDxfId="336" dataCellStyle="Moeda 2"/>
    <tableColumn id="10" xr3:uid="{0243386E-30E2-45DE-9BDC-A71EB3C2321E}" name="Agosto" dataDxfId="335" dataCellStyle="Moeda 2"/>
    <tableColumn id="11" xr3:uid="{0A8A4157-9576-4161-BEFC-B8ECB1316E73}" name="Setembro" dataDxfId="334" dataCellStyle="Moeda 2"/>
    <tableColumn id="12" xr3:uid="{46012112-39ED-4A55-B5B0-1FF9C1E28B07}" name="Outubro" dataDxfId="333" dataCellStyle="Moeda 2"/>
    <tableColumn id="13" xr3:uid="{E9B81131-44CB-4F4F-8924-9FC1D89CC22F}" name="Novembro" dataDxfId="332" dataCellStyle="Moeda 2"/>
    <tableColumn id="14" xr3:uid="{2C70A1D7-3840-4B67-BC0D-2423220F2DE3}" name="Dezembro" dataDxfId="331" dataCellStyle="Moeda 2"/>
    <tableColumn id="15" xr3:uid="{2621CC09-3E9A-4454-B8DC-EFEEEEFE79D2}" name="Total" dataDxfId="330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8CCD70-D85E-4050-9400-0E898DFC21F9}" name="TabelaAssistenciaMedica" displayName="TabelaAssistenciaMedica" ref="A2:P32" totalsRowShown="0" headerRowDxfId="329" dataDxfId="328" tableBorderDxfId="327" dataCellStyle="Moeda 2">
  <tableColumns count="16">
    <tableColumn id="1" xr3:uid="{69984519-F0E2-44DE-9475-A239162F1309}" name="Nº" dataDxfId="326">
      <calculatedColumnFormula>TabelaSalarioBase[[#This Row],[Nº]]</calculatedColumnFormula>
    </tableColumn>
    <tableColumn id="16" xr3:uid="{7437FBBA-49C9-4DD5-B9D6-E2EADA49C5EB}" name="Nome" dataDxfId="325">
      <calculatedColumnFormula>TabelaSalarioBase[[#This Row],[Nome]]</calculatedColumnFormula>
    </tableColumn>
    <tableColumn id="2" xr3:uid="{5D13953D-4AF3-4BE5-A25E-FE0E9A898AD5}" name="Cargo" dataDxfId="324">
      <calculatedColumnFormula>TabelaSalarioBase[[#This Row],[Cargo]]</calculatedColumnFormula>
    </tableColumn>
    <tableColumn id="3" xr3:uid="{653BFFE8-CB89-4400-96B5-D6DE373FF1D1}" name="Janeiro" dataDxfId="323" dataCellStyle="Moeda 2"/>
    <tableColumn id="4" xr3:uid="{E916466E-DEE9-4668-82AA-3FD251C68C04}" name="Fevereiro" dataDxfId="322" dataCellStyle="Moeda 2"/>
    <tableColumn id="5" xr3:uid="{1D9E5D36-7833-46EC-833E-A62FE656EE5D}" name="Março" dataDxfId="321" dataCellStyle="Moeda 2"/>
    <tableColumn id="6" xr3:uid="{1A5DACA5-92B5-49E1-983A-CA1B4DE0FE21}" name="Abril" dataDxfId="320" dataCellStyle="Moeda 2"/>
    <tableColumn id="7" xr3:uid="{0547FB5A-5D09-4685-86AB-9F47AD59C8A2}" name="Maio" dataDxfId="319" dataCellStyle="Moeda 2"/>
    <tableColumn id="8" xr3:uid="{7298C8B0-C78A-4258-9641-A0903D8EA06C}" name="Junho" dataDxfId="318" dataCellStyle="Moeda 2"/>
    <tableColumn id="9" xr3:uid="{E22B9AD7-7935-4970-B1E9-F24972618AAA}" name="Julho" dataDxfId="317" dataCellStyle="Moeda 2"/>
    <tableColumn id="10" xr3:uid="{9C5696F9-3C67-429F-9059-25A78BF2FC67}" name="Agosto" dataDxfId="316" dataCellStyle="Moeda 2"/>
    <tableColumn id="11" xr3:uid="{1202B437-D0D5-4211-9AAD-E7FA755D12D1}" name="Setembro" dataDxfId="315" dataCellStyle="Moeda 2"/>
    <tableColumn id="12" xr3:uid="{CF351756-77C7-4E8E-81B1-2F0D8C6DDAB1}" name="Outubro" dataDxfId="314" dataCellStyle="Moeda 2"/>
    <tableColumn id="13" xr3:uid="{FDC53DF7-04A8-41CB-9357-C1FF4C338462}" name="Novembro" dataDxfId="313" dataCellStyle="Moeda 2"/>
    <tableColumn id="14" xr3:uid="{B12C29FE-99DA-4CFF-8A39-EE0BBC7BD425}" name="Dezembro" dataDxfId="312" dataCellStyle="Moeda 2"/>
    <tableColumn id="15" xr3:uid="{684A0B1F-29E6-4073-A612-8C80251C95B7}" name="Total" dataDxfId="311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E3A3DF-B449-4EF4-9E66-0EBCEC9CF9EF}" name="TabelaAssistenciaOdontologica" displayName="TabelaAssistenciaOdontologica" ref="A2:P32" totalsRowShown="0" headerRowDxfId="310" dataDxfId="309" tableBorderDxfId="308" dataCellStyle="Moeda 2">
  <tableColumns count="16">
    <tableColumn id="1" xr3:uid="{7F333971-5F34-4CF1-A12B-9E7CC63563D8}" name="Nº" dataDxfId="307">
      <calculatedColumnFormula>TabelaSalarioBase[[#This Row],[Nº]]</calculatedColumnFormula>
    </tableColumn>
    <tableColumn id="16" xr3:uid="{2BE7DC09-BD66-4FDA-9AB5-67E2AA9D1F9D}" name="Nome" dataDxfId="306">
      <calculatedColumnFormula>TabelaSalarioBase[[#This Row],[Nome]]</calculatedColumnFormula>
    </tableColumn>
    <tableColumn id="2" xr3:uid="{911F5E21-F99B-4DA4-B99B-8B0360A2467D}" name="Cargo" dataDxfId="305">
      <calculatedColumnFormula>TabelaSalarioBase[[#This Row],[Cargo]]</calculatedColumnFormula>
    </tableColumn>
    <tableColumn id="3" xr3:uid="{C7E00453-4347-4975-B916-4AD7403A54E5}" name="Janeiro" dataDxfId="304" dataCellStyle="Moeda 2"/>
    <tableColumn id="4" xr3:uid="{FD57A275-ADBB-4B02-BE85-DB8AE47FAF2A}" name="Fevereiro" dataDxfId="303" dataCellStyle="Moeda 2"/>
    <tableColumn id="5" xr3:uid="{384E41B1-EEB3-4FE1-AD2A-6A41F0A75DBD}" name="Março" dataDxfId="302" dataCellStyle="Moeda 2"/>
    <tableColumn id="6" xr3:uid="{3976E1F8-50A2-432E-A1F7-291B3BD4535E}" name="Abril" dataDxfId="301" dataCellStyle="Moeda 2"/>
    <tableColumn id="7" xr3:uid="{A7B674B8-22F4-46C6-A557-9ADC8C73B95D}" name="Maio" dataDxfId="300" dataCellStyle="Moeda 2"/>
    <tableColumn id="8" xr3:uid="{6C2F6200-6C75-40F6-BCE1-EF7739D64304}" name="Junho" dataDxfId="299" dataCellStyle="Moeda 2"/>
    <tableColumn id="9" xr3:uid="{40FD6504-622F-490F-8BBC-F6DCA9A417DD}" name="Julho" dataDxfId="298" dataCellStyle="Moeda 2"/>
    <tableColumn id="10" xr3:uid="{A6AD9548-C889-4672-8672-965206B4E8D3}" name="Agosto" dataDxfId="297" dataCellStyle="Moeda 2"/>
    <tableColumn id="11" xr3:uid="{F95CA66E-087A-4C27-8C71-D36AA7248BC3}" name="Setembro" dataDxfId="296" dataCellStyle="Moeda 2"/>
    <tableColumn id="12" xr3:uid="{B9683377-82CC-41DC-871E-8B4AB028CD79}" name="Outubro" dataDxfId="295" dataCellStyle="Moeda 2"/>
    <tableColumn id="13" xr3:uid="{5072164F-2951-4108-97FB-3BF109714D93}" name="Novembro" dataDxfId="294" dataCellStyle="Moeda 2"/>
    <tableColumn id="14" xr3:uid="{F0161B4B-8AC7-4806-8EFB-3F9C428637FA}" name="Dezembro" dataDxfId="293" dataCellStyle="Moeda 2"/>
    <tableColumn id="15" xr3:uid="{DFAFA356-4B3D-44CA-8EF2-D33645C5B057}" name="Total" dataDxfId="292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elaIRPF" displayName="TabelaIRPF" ref="A2:P32" totalsRowShown="0" headerRowDxfId="291" dataDxfId="290" tableBorderDxfId="289" dataCellStyle="Moeda 2">
  <tableColumns count="16">
    <tableColumn id="1" xr3:uid="{00000000-0010-0000-0400-000001000000}" name="Nº" dataDxfId="288">
      <calculatedColumnFormula>TabelaSalarioBase[[#This Row],[Nº]]</calculatedColumnFormula>
    </tableColumn>
    <tableColumn id="16" xr3:uid="{00000000-0010-0000-0400-000010000000}" name="Nome" dataDxfId="287">
      <calculatedColumnFormula>TabelaSalarioBase[[#This Row],[Nome]]</calculatedColumnFormula>
    </tableColumn>
    <tableColumn id="2" xr3:uid="{00000000-0010-0000-0400-000002000000}" name="Cargo" dataDxfId="286">
      <calculatedColumnFormula>TabelaSalarioBase[[#This Row],[Cargo]]</calculatedColumnFormula>
    </tableColumn>
    <tableColumn id="3" xr3:uid="{00000000-0010-0000-0400-000003000000}" name="Janeiro" dataDxfId="285" dataCellStyle="Moeda 2"/>
    <tableColumn id="4" xr3:uid="{00000000-0010-0000-0400-000004000000}" name="Fevereiro" dataDxfId="284" dataCellStyle="Moeda 2"/>
    <tableColumn id="5" xr3:uid="{00000000-0010-0000-0400-000005000000}" name="Março" dataDxfId="283" dataCellStyle="Moeda 2"/>
    <tableColumn id="6" xr3:uid="{00000000-0010-0000-0400-000006000000}" name="Abril" dataDxfId="282" dataCellStyle="Moeda 2"/>
    <tableColumn id="7" xr3:uid="{00000000-0010-0000-0400-000007000000}" name="Maio" dataDxfId="281" dataCellStyle="Moeda 2"/>
    <tableColumn id="8" xr3:uid="{00000000-0010-0000-0400-000008000000}" name="Junho" dataDxfId="280" dataCellStyle="Moeda 2"/>
    <tableColumn id="9" xr3:uid="{00000000-0010-0000-0400-000009000000}" name="Julho" dataDxfId="279" dataCellStyle="Moeda 2"/>
    <tableColumn id="10" xr3:uid="{00000000-0010-0000-0400-00000A000000}" name="Agosto" dataDxfId="278" dataCellStyle="Moeda 2"/>
    <tableColumn id="11" xr3:uid="{00000000-0010-0000-0400-00000B000000}" name="Setembro" dataDxfId="277" dataCellStyle="Moeda 2"/>
    <tableColumn id="12" xr3:uid="{00000000-0010-0000-0400-00000C000000}" name="Outubro" dataDxfId="276" dataCellStyle="Moeda 2"/>
    <tableColumn id="13" xr3:uid="{00000000-0010-0000-0400-00000D000000}" name="Novembro" dataDxfId="275" dataCellStyle="Moeda 2"/>
    <tableColumn id="14" xr3:uid="{00000000-0010-0000-0400-00000E000000}" name="Dezembro" dataDxfId="274" dataCellStyle="Moeda 2"/>
    <tableColumn id="15" xr3:uid="{00000000-0010-0000-0400-00000F000000}" name="Total" dataDxfId="273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INSS" displayName="TabelaINSS" ref="A2:P32" totalsRowShown="0" headerRowDxfId="272" dataDxfId="271" tableBorderDxfId="270" dataCellStyle="Moeda 2">
  <tableColumns count="16">
    <tableColumn id="1" xr3:uid="{00000000-0010-0000-0300-000001000000}" name="Nº" dataDxfId="269">
      <calculatedColumnFormula>TabelaSalarioBase[[#This Row],[Nº]]</calculatedColumnFormula>
    </tableColumn>
    <tableColumn id="17" xr3:uid="{00000000-0010-0000-0300-000011000000}" name="Nome" dataDxfId="268">
      <calculatedColumnFormula>TabelaSalarioBase[[#This Row],[Nome]]</calculatedColumnFormula>
    </tableColumn>
    <tableColumn id="2" xr3:uid="{00000000-0010-0000-0300-000002000000}" name="Cargo" dataDxfId="267">
      <calculatedColumnFormula>TabelaSalarioBase[[#This Row],[Cargo]]</calculatedColumnFormula>
    </tableColumn>
    <tableColumn id="3" xr3:uid="{00000000-0010-0000-0300-000003000000}" name="Janeiro" dataDxfId="266" dataCellStyle="Moeda 2"/>
    <tableColumn id="4" xr3:uid="{00000000-0010-0000-0300-000004000000}" name="Fevereiro" dataDxfId="265" dataCellStyle="Moeda 2"/>
    <tableColumn id="5" xr3:uid="{00000000-0010-0000-0300-000005000000}" name="Março" dataDxfId="264" dataCellStyle="Moeda 2"/>
    <tableColumn id="6" xr3:uid="{00000000-0010-0000-0300-000006000000}" name="Abril" dataDxfId="263" dataCellStyle="Moeda 2"/>
    <tableColumn id="7" xr3:uid="{00000000-0010-0000-0300-000007000000}" name="Maio" dataDxfId="262" dataCellStyle="Moeda 2"/>
    <tableColumn id="8" xr3:uid="{00000000-0010-0000-0300-000008000000}" name="Junho" dataDxfId="261" dataCellStyle="Moeda 2"/>
    <tableColumn id="9" xr3:uid="{00000000-0010-0000-0300-000009000000}" name="Julho" dataDxfId="260" dataCellStyle="Moeda 2"/>
    <tableColumn id="10" xr3:uid="{00000000-0010-0000-0300-00000A000000}" name="Agosto" dataDxfId="259" dataCellStyle="Moeda 2"/>
    <tableColumn id="11" xr3:uid="{00000000-0010-0000-0300-00000B000000}" name="Setembro" dataDxfId="258" dataCellStyle="Moeda 2"/>
    <tableColumn id="12" xr3:uid="{00000000-0010-0000-0300-00000C000000}" name="Outubro" dataDxfId="257" dataCellStyle="Moeda 2"/>
    <tableColumn id="13" xr3:uid="{00000000-0010-0000-0300-00000D000000}" name="Novembro" dataDxfId="256" dataCellStyle="Moeda 2"/>
    <tableColumn id="14" xr3:uid="{00000000-0010-0000-0300-00000E000000}" name="Dezembro" dataDxfId="255" dataCellStyle="Moeda 2"/>
    <tableColumn id="15" xr3:uid="{00000000-0010-0000-0300-00000F000000}" name="Total" dataDxfId="254" dataCellStyle="Moeda 2">
      <calculatedColumnFormula>SUM(D3:O3)</calculatedColumnFormula>
    </tableColumn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elaFGTS" displayName="TabelaFGTS" ref="A2:Q32" totalsRowShown="0" headerRowDxfId="253" dataDxfId="252" tableBorderDxfId="251" dataCellStyle="Moeda 2">
  <tableColumns count="17">
    <tableColumn id="1" xr3:uid="{00000000-0010-0000-0500-000001000000}" name="Nº" dataDxfId="250">
      <calculatedColumnFormula>TabelaSalarioBase[[#This Row],[Nº]]</calculatedColumnFormula>
    </tableColumn>
    <tableColumn id="17" xr3:uid="{00000000-0010-0000-0500-000011000000}" name="Nome" dataDxfId="249">
      <calculatedColumnFormula>TabelaSalarioBase[[#This Row],[Nome]]</calculatedColumnFormula>
    </tableColumn>
    <tableColumn id="2" xr3:uid="{00000000-0010-0000-0500-000002000000}" name="Cargo" dataDxfId="248">
      <calculatedColumnFormula>TabelaSalarioBase[[#This Row],[Cargo]]</calculatedColumnFormula>
    </tableColumn>
    <tableColumn id="16" xr3:uid="{00000000-0010-0000-0500-000010000000}" name="Alíquota" dataDxfId="247" dataCellStyle="Porcentagem"/>
    <tableColumn id="3" xr3:uid="{00000000-0010-0000-0500-000003000000}" name="Janeiro" dataDxfId="246" dataCellStyle="Moeda 2"/>
    <tableColumn id="4" xr3:uid="{00000000-0010-0000-0500-000004000000}" name="Fevereiro" dataDxfId="245" dataCellStyle="Moeda 2"/>
    <tableColumn id="5" xr3:uid="{00000000-0010-0000-0500-000005000000}" name="Março" dataDxfId="244" dataCellStyle="Moeda 2"/>
    <tableColumn id="6" xr3:uid="{00000000-0010-0000-0500-000006000000}" name="Abril" dataDxfId="243" dataCellStyle="Moeda 2"/>
    <tableColumn id="7" xr3:uid="{00000000-0010-0000-0500-000007000000}" name="Maio" dataDxfId="242" dataCellStyle="Moeda 2"/>
    <tableColumn id="8" xr3:uid="{00000000-0010-0000-0500-000008000000}" name="Junho" dataDxfId="241" dataCellStyle="Moeda 2"/>
    <tableColumn id="9" xr3:uid="{00000000-0010-0000-0500-000009000000}" name="Julho" dataDxfId="240" dataCellStyle="Moeda 2"/>
    <tableColumn id="10" xr3:uid="{00000000-0010-0000-0500-00000A000000}" name="Agosto" dataDxfId="239" dataCellStyle="Moeda 2"/>
    <tableColumn id="11" xr3:uid="{00000000-0010-0000-0500-00000B000000}" name="Setembro" dataDxfId="238" dataCellStyle="Moeda 2"/>
    <tableColumn id="12" xr3:uid="{00000000-0010-0000-0500-00000C000000}" name="Outubro" dataDxfId="237" dataCellStyle="Moeda 2"/>
    <tableColumn id="13" xr3:uid="{00000000-0010-0000-0500-00000D000000}" name="Novembro" dataDxfId="236" dataCellStyle="Moeda 2"/>
    <tableColumn id="14" xr3:uid="{00000000-0010-0000-0500-00000E000000}" name="Dezembro" dataDxfId="235" dataCellStyle="Moeda 2"/>
    <tableColumn id="15" xr3:uid="{00000000-0010-0000-0500-00000F000000}" name="Total" dataDxfId="234" dataCellStyle="Moeda 2">
      <calculatedColumnFormula>SUM(E3:P3)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0332-8B84-4C21-B120-F0C52CDE4CDF}">
  <sheetPr>
    <pageSetUpPr fitToPage="1"/>
  </sheetPr>
  <dimension ref="A1:F46"/>
  <sheetViews>
    <sheetView tabSelected="1" zoomScale="80" zoomScaleNormal="80" workbookViewId="0">
      <selection activeCell="A17" sqref="A17:E17"/>
    </sheetView>
  </sheetViews>
  <sheetFormatPr defaultRowHeight="36.75" customHeight="1" x14ac:dyDescent="0.25"/>
  <cols>
    <col min="2" max="2" width="10.5703125" customWidth="1"/>
    <col min="3" max="3" width="14.28515625" customWidth="1"/>
    <col min="4" max="4" width="14.7109375" customWidth="1"/>
    <col min="5" max="5" width="17.28515625" customWidth="1"/>
    <col min="6" max="6" width="31.42578125" customWidth="1"/>
  </cols>
  <sheetData>
    <row r="1" spans="1:6" ht="15" customHeight="1" x14ac:dyDescent="0.25">
      <c r="A1" s="91" t="s">
        <v>57</v>
      </c>
      <c r="B1" s="92"/>
      <c r="C1" s="92"/>
      <c r="D1" s="92"/>
      <c r="E1" s="92"/>
      <c r="F1" s="93"/>
    </row>
    <row r="2" spans="1:6" ht="15" customHeight="1" x14ac:dyDescent="0.25">
      <c r="A2" s="94"/>
      <c r="B2" s="95"/>
      <c r="C2" s="95"/>
      <c r="D2" s="95"/>
      <c r="E2" s="95"/>
      <c r="F2" s="96"/>
    </row>
    <row r="3" spans="1:6" ht="15" customHeight="1" x14ac:dyDescent="0.25">
      <c r="A3" s="94"/>
      <c r="B3" s="95"/>
      <c r="C3" s="95"/>
      <c r="D3" s="95"/>
      <c r="E3" s="95"/>
      <c r="F3" s="96"/>
    </row>
    <row r="4" spans="1:6" ht="15" customHeight="1" x14ac:dyDescent="0.25">
      <c r="A4" s="94"/>
      <c r="B4" s="95"/>
      <c r="C4" s="95"/>
      <c r="D4" s="95"/>
      <c r="E4" s="95"/>
      <c r="F4" s="96"/>
    </row>
    <row r="5" spans="1:6" ht="15" customHeight="1" x14ac:dyDescent="0.25">
      <c r="A5" s="97" t="s">
        <v>78</v>
      </c>
      <c r="B5" s="98"/>
      <c r="C5" s="98"/>
      <c r="D5" s="98"/>
      <c r="E5" s="98"/>
      <c r="F5" s="99"/>
    </row>
    <row r="6" spans="1:6" ht="15" x14ac:dyDescent="0.25">
      <c r="A6" s="72"/>
      <c r="B6" s="72"/>
      <c r="C6" s="72"/>
      <c r="D6" s="72"/>
      <c r="E6" s="72"/>
      <c r="F6" s="72"/>
    </row>
    <row r="7" spans="1:6" ht="15" x14ac:dyDescent="0.25">
      <c r="A7" s="100" t="s">
        <v>58</v>
      </c>
      <c r="B7" s="100"/>
      <c r="C7" s="100"/>
      <c r="D7" s="100"/>
      <c r="E7" s="100"/>
      <c r="F7" s="100"/>
    </row>
    <row r="8" spans="1:6" ht="15" x14ac:dyDescent="0.25">
      <c r="A8" s="73" t="s">
        <v>59</v>
      </c>
      <c r="B8" s="74"/>
      <c r="C8" s="74"/>
      <c r="D8" s="74"/>
      <c r="E8" s="74"/>
      <c r="F8" s="75" t="s">
        <v>54</v>
      </c>
    </row>
    <row r="9" spans="1:6" ht="15" x14ac:dyDescent="0.25">
      <c r="A9" s="84"/>
      <c r="B9" s="85"/>
      <c r="C9" s="85"/>
      <c r="D9" s="85"/>
      <c r="E9" s="86"/>
      <c r="F9" s="76"/>
    </row>
    <row r="10" spans="1:6" ht="15" x14ac:dyDescent="0.25">
      <c r="A10" s="77" t="s">
        <v>60</v>
      </c>
      <c r="B10" s="78"/>
      <c r="C10" s="78"/>
      <c r="D10" s="78"/>
      <c r="E10" s="78"/>
      <c r="F10" s="79"/>
    </row>
    <row r="11" spans="1:6" ht="15" x14ac:dyDescent="0.25">
      <c r="A11" s="84"/>
      <c r="B11" s="85"/>
      <c r="C11" s="85"/>
      <c r="D11" s="85"/>
      <c r="E11" s="85"/>
      <c r="F11" s="86"/>
    </row>
    <row r="12" spans="1:6" ht="15" x14ac:dyDescent="0.25">
      <c r="A12" s="100" t="s">
        <v>61</v>
      </c>
      <c r="B12" s="100"/>
      <c r="C12" s="100"/>
      <c r="D12" s="100"/>
      <c r="E12" s="100"/>
      <c r="F12" s="100"/>
    </row>
    <row r="13" spans="1:6" ht="15" x14ac:dyDescent="0.25">
      <c r="A13" s="73" t="s">
        <v>62</v>
      </c>
      <c r="B13" s="74"/>
      <c r="C13" s="74"/>
      <c r="D13" s="74"/>
      <c r="E13" s="74"/>
      <c r="F13" s="75" t="s">
        <v>63</v>
      </c>
    </row>
    <row r="14" spans="1:6" ht="22.5" customHeight="1" x14ac:dyDescent="0.25">
      <c r="A14" s="84" t="s">
        <v>74</v>
      </c>
      <c r="B14" s="85"/>
      <c r="C14" s="85"/>
      <c r="D14" s="85"/>
      <c r="E14" s="86"/>
      <c r="F14" s="76"/>
    </row>
    <row r="15" spans="1:6" ht="15" x14ac:dyDescent="0.25">
      <c r="A15" s="87" t="s">
        <v>73</v>
      </c>
      <c r="B15" s="88"/>
      <c r="C15" s="89"/>
      <c r="D15" s="89"/>
      <c r="E15" s="89"/>
      <c r="F15" s="90"/>
    </row>
    <row r="16" spans="1:6" ht="15" x14ac:dyDescent="0.25">
      <c r="A16" s="73" t="s">
        <v>64</v>
      </c>
      <c r="B16" s="80"/>
      <c r="C16" s="74"/>
      <c r="D16" s="74"/>
      <c r="E16" s="74"/>
      <c r="F16" s="75" t="s">
        <v>65</v>
      </c>
    </row>
    <row r="17" spans="1:6" ht="15" x14ac:dyDescent="0.25">
      <c r="A17" s="84"/>
      <c r="B17" s="85"/>
      <c r="C17" s="85"/>
      <c r="D17" s="85"/>
      <c r="E17" s="86"/>
      <c r="F17" s="76"/>
    </row>
    <row r="18" spans="1:6" ht="15" x14ac:dyDescent="0.25">
      <c r="A18" s="73" t="s">
        <v>66</v>
      </c>
      <c r="B18" s="81"/>
      <c r="C18" s="73" t="s">
        <v>1</v>
      </c>
      <c r="D18" s="74"/>
      <c r="E18" s="103" t="s">
        <v>67</v>
      </c>
      <c r="F18" s="104"/>
    </row>
    <row r="19" spans="1:6" ht="15" x14ac:dyDescent="0.25">
      <c r="A19" s="84"/>
      <c r="B19" s="86"/>
      <c r="C19" s="105"/>
      <c r="D19" s="106"/>
      <c r="E19" s="84"/>
      <c r="F19" s="86"/>
    </row>
    <row r="20" spans="1:6" ht="15" x14ac:dyDescent="0.25">
      <c r="A20" s="73" t="s">
        <v>68</v>
      </c>
      <c r="B20" s="74"/>
      <c r="C20" s="74"/>
      <c r="D20" s="74"/>
      <c r="E20" s="81"/>
      <c r="F20" s="75" t="s">
        <v>69</v>
      </c>
    </row>
    <row r="21" spans="1:6" ht="15" x14ac:dyDescent="0.25">
      <c r="A21" s="84"/>
      <c r="B21" s="85"/>
      <c r="C21" s="85"/>
      <c r="D21" s="85"/>
      <c r="E21" s="86"/>
      <c r="F21" s="82"/>
    </row>
    <row r="22" spans="1:6" ht="15" x14ac:dyDescent="0.25">
      <c r="A22" s="73" t="s">
        <v>70</v>
      </c>
      <c r="B22" s="74"/>
      <c r="C22" s="73" t="s">
        <v>71</v>
      </c>
      <c r="D22" s="81"/>
      <c r="E22" s="110" t="s">
        <v>72</v>
      </c>
      <c r="F22" s="104"/>
    </row>
    <row r="23" spans="1:6" ht="15" x14ac:dyDescent="0.25">
      <c r="A23" s="84"/>
      <c r="B23" s="86"/>
      <c r="C23" s="84"/>
      <c r="D23" s="86"/>
      <c r="E23" s="84"/>
      <c r="F23" s="86"/>
    </row>
    <row r="24" spans="1:6" ht="15" x14ac:dyDescent="0.25">
      <c r="A24" s="107" t="s">
        <v>76</v>
      </c>
      <c r="B24" s="108"/>
      <c r="C24" s="108"/>
      <c r="D24" s="108"/>
      <c r="E24" s="108"/>
      <c r="F24" s="109"/>
    </row>
    <row r="25" spans="1:6" ht="15" customHeight="1" x14ac:dyDescent="0.25">
      <c r="A25" s="101" t="s">
        <v>77</v>
      </c>
      <c r="B25" s="101"/>
      <c r="C25" s="101"/>
      <c r="D25" s="101"/>
      <c r="E25" s="101"/>
      <c r="F25" s="101"/>
    </row>
    <row r="26" spans="1:6" ht="15" x14ac:dyDescent="0.25">
      <c r="A26" s="102"/>
      <c r="B26" s="102"/>
      <c r="C26" s="102"/>
      <c r="D26" s="102"/>
      <c r="E26" s="102"/>
      <c r="F26" s="102"/>
    </row>
    <row r="27" spans="1:6" ht="15" x14ac:dyDescent="0.25">
      <c r="A27" s="102"/>
      <c r="B27" s="102"/>
      <c r="C27" s="102"/>
      <c r="D27" s="102"/>
      <c r="E27" s="102"/>
      <c r="F27" s="102"/>
    </row>
    <row r="28" spans="1:6" ht="15" x14ac:dyDescent="0.25">
      <c r="A28" s="102"/>
      <c r="B28" s="102"/>
      <c r="C28" s="102"/>
      <c r="D28" s="102"/>
      <c r="E28" s="102"/>
      <c r="F28" s="102"/>
    </row>
    <row r="29" spans="1:6" ht="15" x14ac:dyDescent="0.25">
      <c r="A29" s="102"/>
      <c r="B29" s="102"/>
      <c r="C29" s="102"/>
      <c r="D29" s="102"/>
      <c r="E29" s="102"/>
      <c r="F29" s="102"/>
    </row>
    <row r="30" spans="1:6" ht="15" x14ac:dyDescent="0.25">
      <c r="A30" s="102"/>
      <c r="B30" s="102"/>
      <c r="C30" s="102"/>
      <c r="D30" s="102"/>
      <c r="E30" s="102"/>
      <c r="F30" s="102"/>
    </row>
    <row r="31" spans="1:6" ht="15" x14ac:dyDescent="0.25">
      <c r="A31" s="102"/>
      <c r="B31" s="102"/>
      <c r="C31" s="102"/>
      <c r="D31" s="102"/>
      <c r="E31" s="102"/>
      <c r="F31" s="102"/>
    </row>
    <row r="32" spans="1:6" ht="15" x14ac:dyDescent="0.25">
      <c r="A32" s="102"/>
      <c r="B32" s="102"/>
      <c r="C32" s="102"/>
      <c r="D32" s="102"/>
      <c r="E32" s="102"/>
      <c r="F32" s="102"/>
    </row>
    <row r="33" spans="1:6" ht="15" x14ac:dyDescent="0.25">
      <c r="A33" s="102"/>
      <c r="B33" s="102"/>
      <c r="C33" s="102"/>
      <c r="D33" s="102"/>
      <c r="E33" s="102"/>
      <c r="F33" s="102"/>
    </row>
    <row r="34" spans="1:6" ht="15" x14ac:dyDescent="0.25">
      <c r="A34" s="102"/>
      <c r="B34" s="102"/>
      <c r="C34" s="102"/>
      <c r="D34" s="102"/>
      <c r="E34" s="102"/>
      <c r="F34" s="102"/>
    </row>
    <row r="35" spans="1:6" ht="15" x14ac:dyDescent="0.25">
      <c r="A35" s="102"/>
      <c r="B35" s="102"/>
      <c r="C35" s="102"/>
      <c r="D35" s="102"/>
      <c r="E35" s="102"/>
      <c r="F35" s="102"/>
    </row>
    <row r="36" spans="1:6" ht="15" x14ac:dyDescent="0.25">
      <c r="A36" s="102"/>
      <c r="B36" s="102"/>
      <c r="C36" s="102"/>
      <c r="D36" s="102"/>
      <c r="E36" s="102"/>
      <c r="F36" s="102"/>
    </row>
    <row r="37" spans="1:6" ht="15" x14ac:dyDescent="0.25">
      <c r="A37" s="102"/>
      <c r="B37" s="102"/>
      <c r="C37" s="102"/>
      <c r="D37" s="102"/>
      <c r="E37" s="102"/>
      <c r="F37" s="102"/>
    </row>
    <row r="38" spans="1:6" ht="36.75" customHeight="1" x14ac:dyDescent="0.25">
      <c r="A38" s="102"/>
      <c r="B38" s="102"/>
      <c r="C38" s="102"/>
      <c r="D38" s="102"/>
      <c r="E38" s="102"/>
      <c r="F38" s="102"/>
    </row>
    <row r="39" spans="1:6" ht="15" x14ac:dyDescent="0.25">
      <c r="A39" s="102"/>
      <c r="B39" s="102"/>
      <c r="C39" s="102"/>
      <c r="D39" s="102"/>
      <c r="E39" s="102"/>
      <c r="F39" s="102"/>
    </row>
    <row r="40" spans="1:6" ht="15" x14ac:dyDescent="0.25">
      <c r="A40" s="102"/>
      <c r="B40" s="102"/>
      <c r="C40" s="102"/>
      <c r="D40" s="102"/>
      <c r="E40" s="102"/>
      <c r="F40" s="102"/>
    </row>
    <row r="41" spans="1:6" ht="15" x14ac:dyDescent="0.25">
      <c r="A41" s="102"/>
      <c r="B41" s="102"/>
      <c r="C41" s="102"/>
      <c r="D41" s="102"/>
      <c r="E41" s="102"/>
      <c r="F41" s="102"/>
    </row>
    <row r="42" spans="1:6" ht="15" x14ac:dyDescent="0.25">
      <c r="A42" s="102"/>
      <c r="B42" s="102"/>
      <c r="C42" s="102"/>
      <c r="D42" s="102"/>
      <c r="E42" s="102"/>
      <c r="F42" s="102"/>
    </row>
    <row r="43" spans="1:6" ht="15" x14ac:dyDescent="0.25"/>
    <row r="44" spans="1:6" ht="15" x14ac:dyDescent="0.25"/>
    <row r="45" spans="1:6" ht="15" x14ac:dyDescent="0.25"/>
    <row r="46" spans="1:6" ht="15" x14ac:dyDescent="0.25"/>
  </sheetData>
  <sheetProtection algorithmName="SHA-512" hashValue="EdKLwevx+m6A0xOvhECJOHKGzNGpq54IYGMfri8VAucwFjZw+0d2rXyK5v9nKqb+VHQ2eRKgjEV2eMdsZiRfUw==" saltValue="8manbZKMyKUMl6jUnWe5aA==" spinCount="100000" sheet="1" objects="1" scenarios="1" selectLockedCells="1"/>
  <mergeCells count="20">
    <mergeCell ref="A25:F42"/>
    <mergeCell ref="A17:E17"/>
    <mergeCell ref="E18:F18"/>
    <mergeCell ref="A19:B19"/>
    <mergeCell ref="C19:D19"/>
    <mergeCell ref="E19:F19"/>
    <mergeCell ref="A24:F24"/>
    <mergeCell ref="A21:E21"/>
    <mergeCell ref="E22:F22"/>
    <mergeCell ref="A23:B23"/>
    <mergeCell ref="C23:D23"/>
    <mergeCell ref="E23:F23"/>
    <mergeCell ref="A14:E14"/>
    <mergeCell ref="A15:F15"/>
    <mergeCell ref="A1:F4"/>
    <mergeCell ref="A5:F5"/>
    <mergeCell ref="A7:F7"/>
    <mergeCell ref="A9:E9"/>
    <mergeCell ref="A11:F11"/>
    <mergeCell ref="A12:F12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pageSetUpPr fitToPage="1"/>
  </sheetPr>
  <dimension ref="A1:Q33"/>
  <sheetViews>
    <sheetView zoomScale="80" zoomScaleNormal="80" workbookViewId="0">
      <selection sqref="A1:Q1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9.28515625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11" t="str">
        <f>CONCATENATE(UPPER("09 - FGTS")," - ",UPPER('00 - Entidade'!A14:E14))</f>
        <v>09 - FGTS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14" t="s">
        <v>7</v>
      </c>
      <c r="B33" s="115"/>
      <c r="C33" s="115"/>
      <c r="D33" s="115"/>
      <c r="E33" s="40">
        <f>SUM(TabelaFGTS[Janeiro])</f>
        <v>0</v>
      </c>
      <c r="F33" s="40">
        <f>SUM(TabelaFGTS[Fevereiro])</f>
        <v>0</v>
      </c>
      <c r="G33" s="40">
        <f>SUM(TabelaFGTS[Março])</f>
        <v>0</v>
      </c>
      <c r="H33" s="40">
        <f>SUM(TabelaFGTS[Abril])</f>
        <v>0</v>
      </c>
      <c r="I33" s="40">
        <f>SUM(TabelaFGTS[Maio])</f>
        <v>0</v>
      </c>
      <c r="J33" s="40">
        <f>SUM(TabelaFGTS[Junho])</f>
        <v>0</v>
      </c>
      <c r="K33" s="40">
        <f>SUM(TabelaFGTS[Julho])</f>
        <v>0</v>
      </c>
      <c r="L33" s="40">
        <f>SUM(TabelaFGTS[Agosto])</f>
        <v>0</v>
      </c>
      <c r="M33" s="40">
        <f>SUM(TabelaFGTS[Setembro])</f>
        <v>0</v>
      </c>
      <c r="N33" s="40">
        <f>SUM(TabelaFGTS[Outubro])</f>
        <v>0</v>
      </c>
      <c r="O33" s="40">
        <f>SUM(TabelaFGTS[Novembro])</f>
        <v>0</v>
      </c>
      <c r="P33" s="40">
        <f>SUM(TabelaFGTS[Dezembro])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pageSetUpPr fitToPage="1"/>
  </sheetPr>
  <dimension ref="A1:Q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9.28515625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11" t="str">
        <f>CONCATENATE(UPPER("10 - INSS Patronal")," - ",UPPER('00 - Entidade'!A14:E14))</f>
        <v>10 - INSS PATRONAL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14" t="s">
        <v>7</v>
      </c>
      <c r="B33" s="115"/>
      <c r="C33" s="115"/>
      <c r="D33" s="115"/>
      <c r="E33" s="40">
        <f>SUM(TabelaINSSPatronal[Janeiro])</f>
        <v>0</v>
      </c>
      <c r="F33" s="40">
        <f>SUM(TabelaINSSPatronal[Fevereiro])</f>
        <v>0</v>
      </c>
      <c r="G33" s="40">
        <f>SUM(TabelaINSSPatronal[Março])</f>
        <v>0</v>
      </c>
      <c r="H33" s="40">
        <f>SUM(TabelaINSSPatronal[Abril])</f>
        <v>0</v>
      </c>
      <c r="I33" s="40">
        <f>SUM(TabelaINSSPatronal[Maio])</f>
        <v>0</v>
      </c>
      <c r="J33" s="40">
        <f>SUM(TabelaINSSPatronal[Junho])</f>
        <v>0</v>
      </c>
      <c r="K33" s="40">
        <f>SUM(TabelaINSSPatronal[Julho])</f>
        <v>0</v>
      </c>
      <c r="L33" s="40">
        <f>SUM(TabelaINSSPatronal[Agosto])</f>
        <v>0</v>
      </c>
      <c r="M33" s="40">
        <f>SUM(TabelaINSSPatronal[Setembro])</f>
        <v>0</v>
      </c>
      <c r="N33" s="40">
        <f>SUM(TabelaINSSPatronal[Outubro])</f>
        <v>0</v>
      </c>
      <c r="O33" s="40">
        <f>SUM(TabelaINSSPatronal[Novembro])</f>
        <v>0</v>
      </c>
      <c r="P33" s="40">
        <f>SUM(TabelaINSSPatronal[Dezembro])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pageSetUpPr fitToPage="1"/>
  </sheetPr>
  <dimension ref="A1:Q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10" style="7" bestFit="1" customWidth="1"/>
    <col min="5" max="8" width="14.28515625" style="2" bestFit="1" customWidth="1"/>
    <col min="9" max="16" width="13" style="2" bestFit="1" customWidth="1"/>
    <col min="17" max="17" width="21.42578125" style="2" bestFit="1" customWidth="1"/>
    <col min="18" max="16384" width="9.140625" style="2"/>
  </cols>
  <sheetData>
    <row r="1" spans="1:17" s="1" customFormat="1" ht="50.1" customHeight="1" thickBot="1" x14ac:dyDescent="0.3">
      <c r="A1" s="111" t="str">
        <f>CONCATENATE(UPPER("11 - PIS")," - ",UPPER('00 - Entidade'!A14:E14))</f>
        <v>11 - PIS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</row>
    <row r="2" spans="1:17" s="1" customFormat="1" x14ac:dyDescent="0.25">
      <c r="A2" s="5" t="s">
        <v>20</v>
      </c>
      <c r="B2" s="5" t="s">
        <v>0</v>
      </c>
      <c r="C2" s="6" t="s">
        <v>1</v>
      </c>
      <c r="D2" s="6" t="s">
        <v>5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19</v>
      </c>
      <c r="J2" s="3" t="s">
        <v>15</v>
      </c>
      <c r="K2" s="3" t="s">
        <v>16</v>
      </c>
      <c r="L2" s="3" t="s">
        <v>17</v>
      </c>
      <c r="M2" s="3" t="s">
        <v>24</v>
      </c>
      <c r="N2" s="3" t="s">
        <v>18</v>
      </c>
      <c r="O2" s="3" t="s">
        <v>22</v>
      </c>
      <c r="P2" s="3" t="s">
        <v>23</v>
      </c>
      <c r="Q2" s="4" t="s">
        <v>2</v>
      </c>
    </row>
    <row r="3" spans="1:17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>
        <f>SUM(E3:P3)</f>
        <v>0</v>
      </c>
    </row>
    <row r="4" spans="1:17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2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>
        <f t="shared" ref="Q4:Q32" si="0">SUM(E4:P4)</f>
        <v>0</v>
      </c>
    </row>
    <row r="5" spans="1:17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2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1">
        <f t="shared" si="0"/>
        <v>0</v>
      </c>
    </row>
    <row r="6" spans="1:17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2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1">
        <f t="shared" si="0"/>
        <v>0</v>
      </c>
    </row>
    <row r="7" spans="1:17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2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>
        <f t="shared" si="0"/>
        <v>0</v>
      </c>
    </row>
    <row r="8" spans="1:17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1">
        <f t="shared" si="0"/>
        <v>0</v>
      </c>
    </row>
    <row r="9" spans="1:17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2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>
        <f t="shared" si="0"/>
        <v>0</v>
      </c>
    </row>
    <row r="10" spans="1:17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>
        <f t="shared" si="0"/>
        <v>0</v>
      </c>
    </row>
    <row r="11" spans="1:17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2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>
        <f t="shared" si="0"/>
        <v>0</v>
      </c>
    </row>
    <row r="12" spans="1:17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>
        <f t="shared" si="0"/>
        <v>0</v>
      </c>
    </row>
    <row r="13" spans="1:17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2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>
        <f t="shared" si="0"/>
        <v>0</v>
      </c>
    </row>
    <row r="14" spans="1:17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>
        <f t="shared" si="0"/>
        <v>0</v>
      </c>
    </row>
    <row r="15" spans="1:17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2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1">
        <f t="shared" si="0"/>
        <v>0</v>
      </c>
    </row>
    <row r="16" spans="1:17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>
        <f t="shared" si="0"/>
        <v>0</v>
      </c>
    </row>
    <row r="17" spans="1:17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2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>
        <f>SUM(E17:P17)</f>
        <v>0</v>
      </c>
    </row>
    <row r="18" spans="1:17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">
        <f t="shared" si="0"/>
        <v>0</v>
      </c>
    </row>
    <row r="19" spans="1:17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2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>
        <f t="shared" si="0"/>
        <v>0</v>
      </c>
    </row>
    <row r="20" spans="1:17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2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>
        <f t="shared" si="0"/>
        <v>0</v>
      </c>
    </row>
    <row r="21" spans="1:17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2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>
        <f>SUM(E21:P21)</f>
        <v>0</v>
      </c>
    </row>
    <row r="22" spans="1:17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2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>
        <f t="shared" si="0"/>
        <v>0</v>
      </c>
    </row>
    <row r="23" spans="1:17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2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1">
        <f t="shared" si="0"/>
        <v>0</v>
      </c>
    </row>
    <row r="24" spans="1:17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2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1">
        <f t="shared" si="0"/>
        <v>0</v>
      </c>
    </row>
    <row r="25" spans="1:17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2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1">
        <f t="shared" si="0"/>
        <v>0</v>
      </c>
    </row>
    <row r="26" spans="1:17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2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1">
        <f t="shared" si="0"/>
        <v>0</v>
      </c>
    </row>
    <row r="27" spans="1:17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2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1">
        <f t="shared" si="0"/>
        <v>0</v>
      </c>
    </row>
    <row r="28" spans="1:17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2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>
        <f t="shared" si="0"/>
        <v>0</v>
      </c>
    </row>
    <row r="29" spans="1:17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2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>
        <f t="shared" si="0"/>
        <v>0</v>
      </c>
    </row>
    <row r="30" spans="1:17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2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1">
        <f>SUM(E30:P30)</f>
        <v>0</v>
      </c>
    </row>
    <row r="31" spans="1:17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2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">
        <f>SUM(E31:P31)</f>
        <v>0</v>
      </c>
    </row>
    <row r="32" spans="1:17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24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f t="shared" si="0"/>
        <v>0</v>
      </c>
    </row>
    <row r="33" spans="1:17" ht="18" x14ac:dyDescent="0.25">
      <c r="A33" s="114" t="s">
        <v>7</v>
      </c>
      <c r="B33" s="115"/>
      <c r="C33" s="115"/>
      <c r="D33" s="115"/>
      <c r="E33" s="40">
        <f>SUM(TabelaPIS[Janeiro])</f>
        <v>0</v>
      </c>
      <c r="F33" s="40">
        <f>SUM(TabelaPIS[Fevereiro])</f>
        <v>0</v>
      </c>
      <c r="G33" s="40">
        <f>SUM(TabelaPIS[Março])</f>
        <v>0</v>
      </c>
      <c r="H33" s="40">
        <f>SUM(TabelaPIS[Abril])</f>
        <v>0</v>
      </c>
      <c r="I33" s="40">
        <f>SUM(TabelaPIS[Maio])</f>
        <v>0</v>
      </c>
      <c r="J33" s="40">
        <f>SUM(TabelaPIS[Junho])</f>
        <v>0</v>
      </c>
      <c r="K33" s="40">
        <f>SUM(TabelaPIS[Julho])</f>
        <v>0</v>
      </c>
      <c r="L33" s="40">
        <f>SUM(TabelaPIS[Agosto])</f>
        <v>0</v>
      </c>
      <c r="M33" s="40">
        <f>SUM(TabelaPIS[Setembro])</f>
        <v>0</v>
      </c>
      <c r="N33" s="40">
        <f>SUM(TabelaPIS[Outubro])</f>
        <v>0</v>
      </c>
      <c r="O33" s="40">
        <f>SUM(TabelaPIS[Novembro])</f>
        <v>0</v>
      </c>
      <c r="P33" s="40">
        <f>SUM(TabelaPIS[Dezembro])</f>
        <v>0</v>
      </c>
      <c r="Q33" s="22">
        <f>SUM(Q3:Q32)</f>
        <v>0</v>
      </c>
    </row>
  </sheetData>
  <mergeCells count="2">
    <mergeCell ref="A1:Q1"/>
    <mergeCell ref="A33:D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pageSetUpPr fitToPage="1"/>
  </sheetPr>
  <dimension ref="A1:K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4" width="14.28515625" style="2" bestFit="1" customWidth="1"/>
    <col min="5" max="5" width="14.28515625" style="2" customWidth="1"/>
    <col min="6" max="8" width="14.28515625" style="2" bestFit="1" customWidth="1"/>
    <col min="9" max="10" width="13" style="2" bestFit="1" customWidth="1"/>
    <col min="11" max="11" width="21.42578125" style="2" bestFit="1" customWidth="1"/>
    <col min="12" max="16384" width="9.140625" style="2"/>
  </cols>
  <sheetData>
    <row r="1" spans="1:11" s="1" customFormat="1" ht="50.1" customHeight="1" thickBot="1" x14ac:dyDescent="0.3">
      <c r="A1" s="111" t="str">
        <f>CONCATENATE(UPPER("12 - 13º Salário")," - ",UPPER('00 - Entidade'!A14:E14))</f>
        <v>12 - 13º SALÁRIO - B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s="1" customFormat="1" x14ac:dyDescent="0.25">
      <c r="A2" s="5" t="s">
        <v>20</v>
      </c>
      <c r="B2" s="5" t="s">
        <v>0</v>
      </c>
      <c r="C2" s="6" t="s">
        <v>1</v>
      </c>
      <c r="D2" s="3" t="s">
        <v>22</v>
      </c>
      <c r="E2" s="3" t="s">
        <v>23</v>
      </c>
      <c r="F2" s="3" t="s">
        <v>6</v>
      </c>
      <c r="G2" s="3" t="s">
        <v>3</v>
      </c>
      <c r="H2" s="3" t="s">
        <v>4</v>
      </c>
      <c r="I2" s="3" t="s">
        <v>21</v>
      </c>
      <c r="J2" s="3" t="s">
        <v>9</v>
      </c>
      <c r="K2" s="4" t="s">
        <v>2</v>
      </c>
    </row>
    <row r="3" spans="1:11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1">
        <f t="shared" ref="K3:K32" si="0">SUM(D3:J3)</f>
        <v>0</v>
      </c>
    </row>
    <row r="4" spans="1:11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1">
        <f t="shared" si="0"/>
        <v>0</v>
      </c>
    </row>
    <row r="5" spans="1:11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1">
        <f t="shared" si="0"/>
        <v>0</v>
      </c>
    </row>
    <row r="6" spans="1:11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1">
        <f t="shared" si="0"/>
        <v>0</v>
      </c>
    </row>
    <row r="7" spans="1:11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1">
        <f t="shared" si="0"/>
        <v>0</v>
      </c>
    </row>
    <row r="8" spans="1:11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1">
        <f t="shared" si="0"/>
        <v>0</v>
      </c>
    </row>
    <row r="9" spans="1:11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1">
        <f t="shared" si="0"/>
        <v>0</v>
      </c>
    </row>
    <row r="10" spans="1:11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1">
        <f t="shared" si="0"/>
        <v>0</v>
      </c>
    </row>
    <row r="11" spans="1:11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1">
        <f t="shared" si="0"/>
        <v>0</v>
      </c>
    </row>
    <row r="12" spans="1:11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1">
        <f t="shared" si="0"/>
        <v>0</v>
      </c>
    </row>
    <row r="13" spans="1:11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1">
        <f t="shared" si="0"/>
        <v>0</v>
      </c>
    </row>
    <row r="14" spans="1:11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1">
        <f t="shared" si="0"/>
        <v>0</v>
      </c>
    </row>
    <row r="15" spans="1:11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1">
        <f t="shared" si="0"/>
        <v>0</v>
      </c>
    </row>
    <row r="16" spans="1:11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1">
        <f t="shared" si="0"/>
        <v>0</v>
      </c>
    </row>
    <row r="17" spans="1:11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1">
        <f t="shared" si="0"/>
        <v>0</v>
      </c>
    </row>
    <row r="18" spans="1:11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1">
        <f t="shared" si="0"/>
        <v>0</v>
      </c>
    </row>
    <row r="19" spans="1:11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1">
        <f t="shared" si="0"/>
        <v>0</v>
      </c>
    </row>
    <row r="20" spans="1:11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1">
        <f t="shared" si="0"/>
        <v>0</v>
      </c>
    </row>
    <row r="21" spans="1:11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1">
        <f t="shared" si="0"/>
        <v>0</v>
      </c>
    </row>
    <row r="22" spans="1:11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1">
        <f t="shared" si="0"/>
        <v>0</v>
      </c>
    </row>
    <row r="23" spans="1:11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1">
        <f t="shared" si="0"/>
        <v>0</v>
      </c>
    </row>
    <row r="24" spans="1:11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1">
        <f t="shared" si="0"/>
        <v>0</v>
      </c>
    </row>
    <row r="25" spans="1:11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1">
        <f t="shared" si="0"/>
        <v>0</v>
      </c>
    </row>
    <row r="26" spans="1:11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1">
        <f t="shared" si="0"/>
        <v>0</v>
      </c>
    </row>
    <row r="27" spans="1:11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1">
        <f t="shared" si="0"/>
        <v>0</v>
      </c>
    </row>
    <row r="28" spans="1:11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1">
        <f t="shared" si="0"/>
        <v>0</v>
      </c>
    </row>
    <row r="29" spans="1:11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1">
        <f t="shared" si="0"/>
        <v>0</v>
      </c>
    </row>
    <row r="30" spans="1:11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1">
        <f t="shared" si="0"/>
        <v>0</v>
      </c>
    </row>
    <row r="31" spans="1:11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1">
        <f t="shared" si="0"/>
        <v>0</v>
      </c>
    </row>
    <row r="32" spans="1:11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4">
        <f t="shared" si="0"/>
        <v>0</v>
      </c>
    </row>
    <row r="33" spans="1:11" ht="18" x14ac:dyDescent="0.25">
      <c r="A33" s="114" t="s">
        <v>7</v>
      </c>
      <c r="B33" s="115"/>
      <c r="C33" s="115"/>
      <c r="D33" s="40">
        <f>SUM(Tabela13Salario[Novembro])</f>
        <v>0</v>
      </c>
      <c r="E33" s="40">
        <f>SUM(Tabela13Salario[Dezembro])</f>
        <v>0</v>
      </c>
      <c r="F33" s="40">
        <f>SUM(Tabela13Salario[IRPF])</f>
        <v>0</v>
      </c>
      <c r="G33" s="40">
        <f>SUM(Tabela13Salario[INSS])</f>
        <v>0</v>
      </c>
      <c r="H33" s="40">
        <f>SUM(Tabela13Salario[FGTS])</f>
        <v>0</v>
      </c>
      <c r="I33" s="40">
        <f>SUM(Tabela13Salario[INSS Patronal])</f>
        <v>0</v>
      </c>
      <c r="J33" s="40">
        <f>SUM(Tabela13Salario[PIS])</f>
        <v>0</v>
      </c>
      <c r="K33" s="22">
        <f>SUM(K3:K32)</f>
        <v>0</v>
      </c>
    </row>
  </sheetData>
  <mergeCells count="2">
    <mergeCell ref="A1:K1"/>
    <mergeCell ref="A33:C33"/>
  </mergeCells>
  <phoneticPr fontId="8" type="noConversion"/>
  <pageMargins left="0.25" right="0.25" top="0.75" bottom="0.75" header="0.3" footer="0.3"/>
  <pageSetup paperSize="9" scale="75" fitToHeight="0" orientation="landscape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pageSetUpPr fitToPage="1"/>
  </sheetPr>
  <dimension ref="A1:K46"/>
  <sheetViews>
    <sheetView zoomScale="85" zoomScaleNormal="85" workbookViewId="0">
      <selection activeCell="A2" sqref="A2"/>
    </sheetView>
  </sheetViews>
  <sheetFormatPr defaultRowHeight="12.75" x14ac:dyDescent="0.2"/>
  <cols>
    <col min="1" max="1" width="4.28515625" style="7" bestFit="1" customWidth="1"/>
    <col min="2" max="2" width="35.7109375" style="7" customWidth="1"/>
    <col min="3" max="3" width="30.7109375" style="7" customWidth="1"/>
    <col min="4" max="10" width="21.7109375" style="2" customWidth="1"/>
    <col min="11" max="11" width="25.42578125" style="2" bestFit="1" customWidth="1"/>
    <col min="12" max="12" width="13.5703125" style="2" bestFit="1" customWidth="1"/>
    <col min="13" max="13" width="11.85546875" style="2" bestFit="1" customWidth="1"/>
    <col min="14" max="16384" width="9.140625" style="2"/>
  </cols>
  <sheetData>
    <row r="1" spans="1:11" s="1" customFormat="1" ht="50.1" customHeight="1" thickBot="1" x14ac:dyDescent="0.3">
      <c r="A1" s="111" t="str">
        <f>CONCATENATE(UPPER("13 - Férias")," - ",UPPER('00 - Entidade'!A14:E14))</f>
        <v>13 - FÉRIAS - B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s="1" customFormat="1" x14ac:dyDescent="0.25">
      <c r="A2" s="5" t="s">
        <v>20</v>
      </c>
      <c r="B2" s="5" t="s">
        <v>0</v>
      </c>
      <c r="C2" s="6" t="s">
        <v>1</v>
      </c>
      <c r="D2" s="3" t="s">
        <v>27</v>
      </c>
      <c r="E2" s="3" t="s">
        <v>10</v>
      </c>
      <c r="F2" s="3" t="s">
        <v>6</v>
      </c>
      <c r="G2" s="3" t="s">
        <v>3</v>
      </c>
      <c r="H2" s="3" t="s">
        <v>4</v>
      </c>
      <c r="I2" s="3" t="s">
        <v>21</v>
      </c>
      <c r="J2" s="3" t="s">
        <v>9</v>
      </c>
      <c r="K2" s="4" t="s">
        <v>2</v>
      </c>
    </row>
    <row r="3" spans="1:11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1">
        <f>SUM(D3:J3)</f>
        <v>0</v>
      </c>
    </row>
    <row r="4" spans="1:11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1">
        <f t="shared" ref="K4:K32" si="0">SUM(D4:J4)</f>
        <v>0</v>
      </c>
    </row>
    <row r="5" spans="1:11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0"/>
      <c r="H5" s="10"/>
      <c r="I5" s="10"/>
      <c r="J5" s="10"/>
      <c r="K5" s="11">
        <f t="shared" si="0"/>
        <v>0</v>
      </c>
    </row>
    <row r="6" spans="1:11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1">
        <f t="shared" si="0"/>
        <v>0</v>
      </c>
    </row>
    <row r="7" spans="1:11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0"/>
      <c r="H7" s="10"/>
      <c r="I7" s="10"/>
      <c r="J7" s="10"/>
      <c r="K7" s="11">
        <f t="shared" si="0"/>
        <v>0</v>
      </c>
    </row>
    <row r="8" spans="1:11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1">
        <f t="shared" si="0"/>
        <v>0</v>
      </c>
    </row>
    <row r="9" spans="1:11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0"/>
      <c r="H9" s="10"/>
      <c r="I9" s="10"/>
      <c r="J9" s="10"/>
      <c r="K9" s="11">
        <f t="shared" si="0"/>
        <v>0</v>
      </c>
    </row>
    <row r="10" spans="1:11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1">
        <f t="shared" si="0"/>
        <v>0</v>
      </c>
    </row>
    <row r="11" spans="1:11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0"/>
      <c r="H11" s="10"/>
      <c r="I11" s="10"/>
      <c r="J11" s="10"/>
      <c r="K11" s="11">
        <f t="shared" si="0"/>
        <v>0</v>
      </c>
    </row>
    <row r="12" spans="1:11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1">
        <f t="shared" si="0"/>
        <v>0</v>
      </c>
    </row>
    <row r="13" spans="1:11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0"/>
      <c r="H13" s="10"/>
      <c r="I13" s="10"/>
      <c r="J13" s="10"/>
      <c r="K13" s="11">
        <f t="shared" si="0"/>
        <v>0</v>
      </c>
    </row>
    <row r="14" spans="1:11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1">
        <f t="shared" si="0"/>
        <v>0</v>
      </c>
    </row>
    <row r="15" spans="1:11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0"/>
      <c r="H15" s="12"/>
      <c r="I15" s="12"/>
      <c r="J15" s="12"/>
      <c r="K15" s="11">
        <f t="shared" si="0"/>
        <v>0</v>
      </c>
    </row>
    <row r="16" spans="1:11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1">
        <f t="shared" si="0"/>
        <v>0</v>
      </c>
    </row>
    <row r="17" spans="1:11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0"/>
      <c r="H17" s="12"/>
      <c r="I17" s="12"/>
      <c r="J17" s="12"/>
      <c r="K17" s="11">
        <f t="shared" si="0"/>
        <v>0</v>
      </c>
    </row>
    <row r="18" spans="1:11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1">
        <f t="shared" si="0"/>
        <v>0</v>
      </c>
    </row>
    <row r="19" spans="1:11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0"/>
      <c r="H19" s="12"/>
      <c r="I19" s="12"/>
      <c r="J19" s="12"/>
      <c r="K19" s="11">
        <f t="shared" si="0"/>
        <v>0</v>
      </c>
    </row>
    <row r="20" spans="1:11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1">
        <f t="shared" si="0"/>
        <v>0</v>
      </c>
    </row>
    <row r="21" spans="1:11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0"/>
      <c r="H21" s="12"/>
      <c r="I21" s="12"/>
      <c r="J21" s="12"/>
      <c r="K21" s="11">
        <f t="shared" si="0"/>
        <v>0</v>
      </c>
    </row>
    <row r="22" spans="1:11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1">
        <f t="shared" si="0"/>
        <v>0</v>
      </c>
    </row>
    <row r="23" spans="1:11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0"/>
      <c r="H23" s="12"/>
      <c r="I23" s="12"/>
      <c r="J23" s="12"/>
      <c r="K23" s="11">
        <f t="shared" si="0"/>
        <v>0</v>
      </c>
    </row>
    <row r="24" spans="1:11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1">
        <f t="shared" si="0"/>
        <v>0</v>
      </c>
    </row>
    <row r="25" spans="1:11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0"/>
      <c r="H25" s="12"/>
      <c r="I25" s="12"/>
      <c r="J25" s="12"/>
      <c r="K25" s="11">
        <f t="shared" si="0"/>
        <v>0</v>
      </c>
    </row>
    <row r="26" spans="1:11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1">
        <f t="shared" si="0"/>
        <v>0</v>
      </c>
    </row>
    <row r="27" spans="1:11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0"/>
      <c r="H27" s="12"/>
      <c r="I27" s="12"/>
      <c r="J27" s="12"/>
      <c r="K27" s="11">
        <f t="shared" si="0"/>
        <v>0</v>
      </c>
    </row>
    <row r="28" spans="1:11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1">
        <f t="shared" si="0"/>
        <v>0</v>
      </c>
    </row>
    <row r="29" spans="1:11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0"/>
      <c r="H29" s="12"/>
      <c r="I29" s="12"/>
      <c r="J29" s="12"/>
      <c r="K29" s="11">
        <f t="shared" si="0"/>
        <v>0</v>
      </c>
    </row>
    <row r="30" spans="1:11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1">
        <f t="shared" si="0"/>
        <v>0</v>
      </c>
    </row>
    <row r="31" spans="1:11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0"/>
      <c r="H31" s="12"/>
      <c r="I31" s="12"/>
      <c r="J31" s="12"/>
      <c r="K31" s="11">
        <f t="shared" si="0"/>
        <v>0</v>
      </c>
    </row>
    <row r="32" spans="1:11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2"/>
      <c r="G32" s="12"/>
      <c r="H32" s="13"/>
      <c r="I32" s="13"/>
      <c r="J32" s="13"/>
      <c r="K32" s="14">
        <f t="shared" si="0"/>
        <v>0</v>
      </c>
    </row>
    <row r="33" spans="1:11" ht="18" x14ac:dyDescent="0.25">
      <c r="A33" s="41" t="s">
        <v>7</v>
      </c>
      <c r="B33" s="42"/>
      <c r="C33" s="42"/>
      <c r="D33" s="40">
        <f>SUM(TabelaFERIAS[1/3 Férias])</f>
        <v>0</v>
      </c>
      <c r="E33" s="40"/>
      <c r="F33" s="40">
        <f>SUM(TabelaFERIAS[IRPF])</f>
        <v>0</v>
      </c>
      <c r="G33" s="40">
        <f>SUM(TabelaFERIAS[INSS])</f>
        <v>0</v>
      </c>
      <c r="H33" s="40">
        <f>SUM(TabelaFERIAS[FGTS])</f>
        <v>0</v>
      </c>
      <c r="I33" s="40">
        <f>SUM(TabelaFERIAS[INSS Patronal])</f>
        <v>0</v>
      </c>
      <c r="J33" s="40">
        <f>SUM(TabelaFERIAS[PIS])</f>
        <v>0</v>
      </c>
      <c r="K33" s="22">
        <f>SUM(K3:K32)</f>
        <v>0</v>
      </c>
    </row>
    <row r="37" spans="1:11" x14ac:dyDescent="0.2">
      <c r="C37" s="2"/>
    </row>
    <row r="38" spans="1:11" ht="20.100000000000001" customHeight="1" x14ac:dyDescent="0.2">
      <c r="C38" s="2"/>
    </row>
    <row r="39" spans="1:11" x14ac:dyDescent="0.2">
      <c r="B39" s="2"/>
      <c r="C39" s="2"/>
    </row>
    <row r="40" spans="1:11" x14ac:dyDescent="0.2">
      <c r="B40" s="2"/>
      <c r="C40" s="2"/>
    </row>
    <row r="41" spans="1:11" x14ac:dyDescent="0.2">
      <c r="B41" s="2"/>
      <c r="C41" s="2"/>
    </row>
    <row r="42" spans="1:11" x14ac:dyDescent="0.2">
      <c r="B42" s="2"/>
      <c r="C42" s="2"/>
    </row>
    <row r="43" spans="1:11" x14ac:dyDescent="0.2">
      <c r="C43" s="2"/>
    </row>
    <row r="44" spans="1:11" x14ac:dyDescent="0.2">
      <c r="C44" s="2"/>
    </row>
    <row r="45" spans="1:11" x14ac:dyDescent="0.2">
      <c r="C45" s="2"/>
    </row>
    <row r="46" spans="1:11" x14ac:dyDescent="0.2">
      <c r="C46" s="2"/>
    </row>
  </sheetData>
  <mergeCells count="1">
    <mergeCell ref="A1:K1"/>
  </mergeCells>
  <dataValidations count="1">
    <dataValidation type="list" allowBlank="1" showInputMessage="1" showErrorMessage="1" sqref="E3:E32" xr:uid="{00000000-0002-0000-0800-000000000000}">
      <formula1>"Janeiro,Fevereiro,Março,Abril,Maio,Junho,Julho,Agosto,Setembro,Outubro,Novembro,Dezembro"</formula1>
    </dataValidation>
  </dataValidations>
  <pageMargins left="0.25" right="0.25" top="0.75" bottom="0.75" header="0.3" footer="0.3"/>
  <pageSetup paperSize="9" scale="57" fitToHeight="0" orientation="landscape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8240-19C0-40D8-B001-2AFE1FF6C631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3" width="2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ht="50.1" customHeight="1" thickBot="1" x14ac:dyDescent="0.25">
      <c r="A1" s="111" t="str">
        <f>CONCATENATE(UPPER("14 - Aviso Prévio")," - ",UPPER('00 - Entidade'!A14:E14))</f>
        <v>14 - AVISO PRÉVIO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x14ac:dyDescent="0.2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x14ac:dyDescent="0.2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x14ac:dyDescent="0.2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x14ac:dyDescent="0.2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x14ac:dyDescent="0.2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x14ac:dyDescent="0.2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x14ac:dyDescent="0.2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x14ac:dyDescent="0.2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x14ac:dyDescent="0.2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x14ac:dyDescent="0.2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x14ac:dyDescent="0.2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x14ac:dyDescent="0.2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x14ac:dyDescent="0.2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x14ac:dyDescent="0.2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x14ac:dyDescent="0.2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x14ac:dyDescent="0.2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x14ac:dyDescent="0.2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x14ac:dyDescent="0.2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x14ac:dyDescent="0.2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x14ac:dyDescent="0.2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x14ac:dyDescent="0.2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x14ac:dyDescent="0.2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x14ac:dyDescent="0.2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x14ac:dyDescent="0.2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x14ac:dyDescent="0.2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x14ac:dyDescent="0.2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x14ac:dyDescent="0.2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x14ac:dyDescent="0.2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x14ac:dyDescent="0.2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x14ac:dyDescent="0.2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x14ac:dyDescent="0.2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SUM(TabelaAvisoPrevio[Janeiro])</f>
        <v>0</v>
      </c>
      <c r="E33" s="40">
        <f>SUM(TabelaAvisoPrevio[Fevereiro])</f>
        <v>0</v>
      </c>
      <c r="F33" s="40">
        <f>SUM(TabelaAvisoPrevio[Março])</f>
        <v>0</v>
      </c>
      <c r="G33" s="40">
        <f>SUM(TabelaAvisoPrevio[Abril])</f>
        <v>0</v>
      </c>
      <c r="H33" s="40">
        <f>SUM(TabelaAvisoPrevio[Maio])</f>
        <v>0</v>
      </c>
      <c r="I33" s="40">
        <f>SUM(TabelaAvisoPrevio[Junho])</f>
        <v>0</v>
      </c>
      <c r="J33" s="40">
        <f>SUM(TabelaAvisoPrevio[Julho])</f>
        <v>0</v>
      </c>
      <c r="K33" s="40">
        <f>SUM(TabelaAvisoPrevio[Agosto])</f>
        <v>0</v>
      </c>
      <c r="L33" s="40">
        <f>SUM(TabelaAvisoPrevio[Setembro])</f>
        <v>0</v>
      </c>
      <c r="M33" s="40">
        <f>SUM(TabelaAvisoPrevio[Outubro])</f>
        <v>0</v>
      </c>
      <c r="N33" s="40">
        <f>SUM(TabelaAvisoPrevio[Novembro])</f>
        <v>0</v>
      </c>
      <c r="O33" s="40">
        <f>SUM(TabelaAvisoPrevio[Dezembro])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3" width="2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ht="50.1" customHeight="1" thickBot="1" x14ac:dyDescent="0.25">
      <c r="A1" s="111" t="str">
        <f>CONCATENATE(UPPER("15 - Multa Rescisória")," - ",UPPER('00 - Entidade'!A14:E14))</f>
        <v>15 - MULTA RESCISÓRIA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x14ac:dyDescent="0.2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x14ac:dyDescent="0.2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x14ac:dyDescent="0.2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x14ac:dyDescent="0.2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x14ac:dyDescent="0.2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x14ac:dyDescent="0.2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x14ac:dyDescent="0.2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x14ac:dyDescent="0.2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x14ac:dyDescent="0.2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x14ac:dyDescent="0.2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x14ac:dyDescent="0.2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x14ac:dyDescent="0.2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x14ac:dyDescent="0.2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x14ac:dyDescent="0.2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x14ac:dyDescent="0.2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x14ac:dyDescent="0.2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x14ac:dyDescent="0.2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x14ac:dyDescent="0.2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x14ac:dyDescent="0.2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x14ac:dyDescent="0.2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x14ac:dyDescent="0.2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x14ac:dyDescent="0.2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x14ac:dyDescent="0.2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x14ac:dyDescent="0.2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x14ac:dyDescent="0.2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x14ac:dyDescent="0.2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x14ac:dyDescent="0.2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x14ac:dyDescent="0.2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x14ac:dyDescent="0.2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x14ac:dyDescent="0.2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x14ac:dyDescent="0.2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SUM(TabelaMultaRescisoriaFGTS[Janeiro])</f>
        <v>0</v>
      </c>
      <c r="E33" s="40">
        <f>SUM(TabelaMultaRescisoriaFGTS[Fevereiro])</f>
        <v>0</v>
      </c>
      <c r="F33" s="40">
        <f>SUM(TabelaMultaRescisoriaFGTS[Março])</f>
        <v>0</v>
      </c>
      <c r="G33" s="40">
        <f>SUM(TabelaMultaRescisoriaFGTS[Abril])</f>
        <v>0</v>
      </c>
      <c r="H33" s="40">
        <f>SUM(TabelaMultaRescisoriaFGTS[Maio])</f>
        <v>0</v>
      </c>
      <c r="I33" s="40">
        <f>SUM(TabelaMultaRescisoriaFGTS[Junho])</f>
        <v>0</v>
      </c>
      <c r="J33" s="40">
        <f>SUM(TabelaMultaRescisoriaFGTS[Julho])</f>
        <v>0</v>
      </c>
      <c r="K33" s="40">
        <f>SUM(TabelaMultaRescisoriaFGTS[Agosto])</f>
        <v>0</v>
      </c>
      <c r="L33" s="40">
        <f>SUM(TabelaMultaRescisoriaFGTS[Setembro])</f>
        <v>0</v>
      </c>
      <c r="M33" s="40">
        <f>SUM(TabelaMultaRescisoriaFGTS[Outubro])</f>
        <v>0</v>
      </c>
      <c r="N33" s="40">
        <f>SUM(TabelaMultaRescisoriaFGTS[Novembro])</f>
        <v>0</v>
      </c>
      <c r="O33" s="40">
        <f>SUM(TabelaMultaRescisoriaFGTS[Dezembro])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6379-E585-4317-9C2D-260B0935E4A4}">
  <sheetPr>
    <pageSetUpPr fitToPage="1"/>
  </sheetPr>
  <dimension ref="A1:O33"/>
  <sheetViews>
    <sheetView zoomScale="80" zoomScaleNormal="80" workbookViewId="0">
      <selection activeCell="A2" sqref="A2"/>
    </sheetView>
  </sheetViews>
  <sheetFormatPr defaultRowHeight="12.75" x14ac:dyDescent="0.2"/>
  <cols>
    <col min="1" max="1" width="3" style="7" bestFit="1" customWidth="1"/>
    <col min="2" max="2" width="19.7109375" style="7" bestFit="1" customWidth="1"/>
    <col min="3" max="14" width="14.28515625" style="2" bestFit="1" customWidth="1"/>
    <col min="15" max="15" width="21.42578125" style="2" bestFit="1" customWidth="1"/>
    <col min="16" max="16384" width="9.140625" style="2"/>
  </cols>
  <sheetData>
    <row r="1" spans="1:15" ht="50.1" customHeight="1" thickBot="1" x14ac:dyDescent="0.25">
      <c r="A1" s="111" t="str">
        <f>CONCATENATE(UPPER("16 - Estagiários")," - ",UPPER('00 - Entidade'!A14:E14))</f>
        <v>16 - ESTAGIÁRIOS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x14ac:dyDescent="0.2">
      <c r="A2" s="5" t="s">
        <v>20</v>
      </c>
      <c r="B2" s="5" t="s">
        <v>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x14ac:dyDescent="0.2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x14ac:dyDescent="0.2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32" si="0">SUM(C4:N4)</f>
        <v>0</v>
      </c>
    </row>
    <row r="5" spans="1:15" x14ac:dyDescent="0.2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x14ac:dyDescent="0.2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x14ac:dyDescent="0.2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x14ac:dyDescent="0.2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x14ac:dyDescent="0.2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x14ac:dyDescent="0.2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x14ac:dyDescent="0.2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x14ac:dyDescent="0.2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x14ac:dyDescent="0.2">
      <c r="A13" s="8">
        <f>TabelaSalarioBase[[#This Row],[Nº]]</f>
        <v>11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1">
        <f t="shared" si="0"/>
        <v>0</v>
      </c>
    </row>
    <row r="14" spans="1:15" x14ac:dyDescent="0.2">
      <c r="A14" s="8">
        <f>TabelaSalarioBase[[#This Row],[Nº]]</f>
        <v>12</v>
      </c>
      <c r="B14" s="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>
        <f t="shared" si="0"/>
        <v>0</v>
      </c>
    </row>
    <row r="15" spans="1:15" x14ac:dyDescent="0.2">
      <c r="A15" s="8">
        <f>TabelaSalarioBase[[#This Row],[Nº]]</f>
        <v>13</v>
      </c>
      <c r="B15" s="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1">
        <f t="shared" si="0"/>
        <v>0</v>
      </c>
    </row>
    <row r="16" spans="1:15" x14ac:dyDescent="0.2">
      <c r="A16" s="8">
        <f>TabelaSalarioBase[[#This Row],[Nº]]</f>
        <v>14</v>
      </c>
      <c r="B16" s="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>
        <f t="shared" si="0"/>
        <v>0</v>
      </c>
    </row>
    <row r="17" spans="1:15" x14ac:dyDescent="0.2">
      <c r="A17" s="8">
        <f>TabelaSalarioBase[[#This Row],[Nº]]</f>
        <v>15</v>
      </c>
      <c r="B17" s="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1">
        <f>SUM(C17:N17)</f>
        <v>0</v>
      </c>
    </row>
    <row r="18" spans="1:15" x14ac:dyDescent="0.2">
      <c r="A18" s="8">
        <f>TabelaSalarioBase[[#This Row],[Nº]]</f>
        <v>16</v>
      </c>
      <c r="B18" s="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1">
        <f t="shared" si="0"/>
        <v>0</v>
      </c>
    </row>
    <row r="19" spans="1:15" x14ac:dyDescent="0.2">
      <c r="A19" s="8">
        <f>TabelaSalarioBase[[#This Row],[Nº]]</f>
        <v>17</v>
      </c>
      <c r="B19" s="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>
        <f t="shared" si="0"/>
        <v>0</v>
      </c>
    </row>
    <row r="20" spans="1:15" x14ac:dyDescent="0.2">
      <c r="A20" s="8">
        <f>TabelaSalarioBase[[#This Row],[Nº]]</f>
        <v>18</v>
      </c>
      <c r="B20" s="8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1">
        <f t="shared" si="0"/>
        <v>0</v>
      </c>
    </row>
    <row r="21" spans="1:15" x14ac:dyDescent="0.2">
      <c r="A21" s="8">
        <f>TabelaSalarioBase[[#This Row],[Nº]]</f>
        <v>19</v>
      </c>
      <c r="B21" s="8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f>SUM(C21:N21)</f>
        <v>0</v>
      </c>
    </row>
    <row r="22" spans="1:15" x14ac:dyDescent="0.2">
      <c r="A22" s="8">
        <f>TabelaSalarioBase[[#This Row],[Nº]]</f>
        <v>20</v>
      </c>
      <c r="B22" s="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f t="shared" si="0"/>
        <v>0</v>
      </c>
    </row>
    <row r="23" spans="1:15" x14ac:dyDescent="0.2">
      <c r="A23" s="8">
        <f>TabelaSalarioBase[[#This Row],[Nº]]</f>
        <v>21</v>
      </c>
      <c r="B23" s="8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f t="shared" si="0"/>
        <v>0</v>
      </c>
    </row>
    <row r="24" spans="1:15" x14ac:dyDescent="0.2">
      <c r="A24" s="8">
        <f>TabelaSalarioBase[[#This Row],[Nº]]</f>
        <v>22</v>
      </c>
      <c r="B24" s="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f t="shared" si="0"/>
        <v>0</v>
      </c>
    </row>
    <row r="25" spans="1:15" x14ac:dyDescent="0.2">
      <c r="A25" s="8">
        <f>TabelaSalarioBase[[#This Row],[Nº]]</f>
        <v>23</v>
      </c>
      <c r="B25" s="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f t="shared" si="0"/>
        <v>0</v>
      </c>
    </row>
    <row r="26" spans="1:15" x14ac:dyDescent="0.2">
      <c r="A26" s="8">
        <f>TabelaSalarioBase[[#This Row],[Nº]]</f>
        <v>24</v>
      </c>
      <c r="B26" s="8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f t="shared" si="0"/>
        <v>0</v>
      </c>
    </row>
    <row r="27" spans="1:15" x14ac:dyDescent="0.2">
      <c r="A27" s="8">
        <f>TabelaSalarioBase[[#This Row],[Nº]]</f>
        <v>25</v>
      </c>
      <c r="B27" s="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f t="shared" si="0"/>
        <v>0</v>
      </c>
    </row>
    <row r="28" spans="1:15" x14ac:dyDescent="0.2">
      <c r="A28" s="8">
        <f>TabelaSalarioBase[[#This Row],[Nº]]</f>
        <v>26</v>
      </c>
      <c r="B28" s="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f t="shared" si="0"/>
        <v>0</v>
      </c>
    </row>
    <row r="29" spans="1:15" x14ac:dyDescent="0.2">
      <c r="A29" s="8">
        <f>TabelaSalarioBase[[#This Row],[Nº]]</f>
        <v>27</v>
      </c>
      <c r="B29" s="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f t="shared" si="0"/>
        <v>0</v>
      </c>
    </row>
    <row r="30" spans="1:15" x14ac:dyDescent="0.2">
      <c r="A30" s="8">
        <f>TabelaSalarioBase[[#This Row],[Nº]]</f>
        <v>28</v>
      </c>
      <c r="B30" s="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>
        <f>SUM(C30:N30)</f>
        <v>0</v>
      </c>
    </row>
    <row r="31" spans="1:15" x14ac:dyDescent="0.2">
      <c r="A31" s="8">
        <f>TabelaSalarioBase[[#This Row],[Nº]]</f>
        <v>29</v>
      </c>
      <c r="B31" s="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1">
        <f>SUM(C31:N31)</f>
        <v>0</v>
      </c>
    </row>
    <row r="32" spans="1:15" x14ac:dyDescent="0.2">
      <c r="A32" s="8">
        <f>TabelaSalarioBase[[#This Row],[Nº]]</f>
        <v>30</v>
      </c>
      <c r="B32" s="8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>
        <f t="shared" si="0"/>
        <v>0</v>
      </c>
    </row>
    <row r="33" spans="1:15" ht="18" x14ac:dyDescent="0.25">
      <c r="A33" s="114" t="s">
        <v>7</v>
      </c>
      <c r="B33" s="115"/>
      <c r="C33" s="40">
        <f>SUM(TabelaEstagiarios[Janeiro])</f>
        <v>0</v>
      </c>
      <c r="D33" s="40">
        <f>SUM(TabelaEstagiarios[Fevereiro])</f>
        <v>0</v>
      </c>
      <c r="E33" s="40">
        <f>SUM(TabelaEstagiarios[Março])</f>
        <v>0</v>
      </c>
      <c r="F33" s="40">
        <f>SUM(TabelaEstagiarios[Abril])</f>
        <v>0</v>
      </c>
      <c r="G33" s="40">
        <f>SUM(TabelaEstagiarios[Maio])</f>
        <v>0</v>
      </c>
      <c r="H33" s="40">
        <f>SUM(TabelaEstagiarios[Junho])</f>
        <v>0</v>
      </c>
      <c r="I33" s="40">
        <f>SUM(TabelaEstagiarios[Julho])</f>
        <v>0</v>
      </c>
      <c r="J33" s="40">
        <f>SUM(TabelaEstagiarios[Agosto])</f>
        <v>0</v>
      </c>
      <c r="K33" s="40">
        <f>SUM(TabelaEstagiarios[Setembro])</f>
        <v>0</v>
      </c>
      <c r="L33" s="40">
        <f>SUM(TabelaEstagiarios[Outubro])</f>
        <v>0</v>
      </c>
      <c r="M33" s="40">
        <f>SUM(TabelaEstagiarios[Novembro])</f>
        <v>0</v>
      </c>
      <c r="N33" s="40">
        <f>SUM(TabelaEstagiarios[Dezembro])</f>
        <v>0</v>
      </c>
      <c r="O33" s="22">
        <f>SUM(O3:O32)</f>
        <v>0</v>
      </c>
    </row>
  </sheetData>
  <mergeCells count="2">
    <mergeCell ref="A1:O1"/>
    <mergeCell ref="A33:B33"/>
  </mergeCells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B98E-C9D7-4FB7-A373-C56080B49F3A}">
  <sheetPr>
    <pageSetUpPr fitToPage="1"/>
  </sheetPr>
  <dimension ref="A1:O13"/>
  <sheetViews>
    <sheetView zoomScale="80" zoomScaleNormal="80" workbookViewId="0">
      <selection activeCell="C3" sqref="C3"/>
    </sheetView>
  </sheetViews>
  <sheetFormatPr defaultRowHeight="12.75" x14ac:dyDescent="0.2"/>
  <cols>
    <col min="1" max="1" width="3.42578125" style="7" bestFit="1" customWidth="1"/>
    <col min="2" max="2" width="40.5703125" style="7" customWidth="1"/>
    <col min="3" max="6" width="14.28515625" style="2" bestFit="1" customWidth="1"/>
    <col min="7" max="14" width="13" style="2" bestFit="1" customWidth="1"/>
    <col min="15" max="15" width="21.42578125" style="2" bestFit="1" customWidth="1"/>
    <col min="16" max="16384" width="9.140625" style="2"/>
  </cols>
  <sheetData>
    <row r="1" spans="1:15" s="1" customFormat="1" ht="50.1" customHeight="1" thickBot="1" x14ac:dyDescent="0.3">
      <c r="A1" s="116" t="str">
        <f>CONCATENATE(UPPER("17 - Gêneros Alimentícios")," - ",UPPER('00 - Entidade'!A14:E14))</f>
        <v>17 - GÊNEROS ALIMENTÍCIOS - B</v>
      </c>
      <c r="B1" s="117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s="1" customFormat="1" x14ac:dyDescent="0.25">
      <c r="A2" s="5" t="s">
        <v>20</v>
      </c>
      <c r="B2" s="5" t="s">
        <v>38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s="1" customFormat="1" x14ac:dyDescent="0.25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s="1" customFormat="1" x14ac:dyDescent="0.25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12" si="0">SUM(C4:N4)</f>
        <v>0</v>
      </c>
    </row>
    <row r="5" spans="1:15" s="1" customFormat="1" x14ac:dyDescent="0.25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s="1" customFormat="1" x14ac:dyDescent="0.25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s="1" customFormat="1" x14ac:dyDescent="0.25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s="1" customFormat="1" x14ac:dyDescent="0.25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s="1" customFormat="1" x14ac:dyDescent="0.25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s="1" customFormat="1" x14ac:dyDescent="0.25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s="1" customFormat="1" x14ac:dyDescent="0.25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s="1" customFormat="1" x14ac:dyDescent="0.25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ht="18" x14ac:dyDescent="0.25">
      <c r="A13" s="114" t="s">
        <v>7</v>
      </c>
      <c r="B13" s="115"/>
      <c r="C13" s="40">
        <f>SUM(TabelaGenerosAlimenticios[Janeiro])</f>
        <v>0</v>
      </c>
      <c r="D13" s="40">
        <f>SUM(TabelaGenerosAlimenticios[Fevereiro])</f>
        <v>0</v>
      </c>
      <c r="E13" s="40">
        <f>SUM(TabelaGenerosAlimenticios[Março])</f>
        <v>0</v>
      </c>
      <c r="F13" s="40">
        <f>SUM(TabelaGenerosAlimenticios[Abril])</f>
        <v>0</v>
      </c>
      <c r="G13" s="40">
        <f>SUM(TabelaGenerosAlimenticios[Maio])</f>
        <v>0</v>
      </c>
      <c r="H13" s="40">
        <f>SUM(TabelaGenerosAlimenticios[Junho])</f>
        <v>0</v>
      </c>
      <c r="I13" s="40">
        <f>SUM(TabelaGenerosAlimenticios[Julho])</f>
        <v>0</v>
      </c>
      <c r="J13" s="40">
        <f>SUM(TabelaGenerosAlimenticios[Agosto])</f>
        <v>0</v>
      </c>
      <c r="K13" s="40">
        <f>SUM(TabelaGenerosAlimenticios[Setembro])</f>
        <v>0</v>
      </c>
      <c r="L13" s="40">
        <f>SUM(TabelaGenerosAlimenticios[Outubro])</f>
        <v>0</v>
      </c>
      <c r="M13" s="40">
        <f>SUM(TabelaGenerosAlimenticios[Novembro])</f>
        <v>0</v>
      </c>
      <c r="N13" s="40">
        <f>SUM(TabelaGenerosAlimenticios[Dezembro])</f>
        <v>0</v>
      </c>
      <c r="O13" s="22">
        <f>SUM(O3:O12)</f>
        <v>0</v>
      </c>
    </row>
  </sheetData>
  <mergeCells count="2">
    <mergeCell ref="A1:O1"/>
    <mergeCell ref="A13:B13"/>
  </mergeCell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>
    <pageSetUpPr fitToPage="1"/>
  </sheetPr>
  <dimension ref="A1:P17"/>
  <sheetViews>
    <sheetView zoomScale="80" zoomScaleNormal="80" workbookViewId="0">
      <selection activeCell="G6" sqref="G6"/>
    </sheetView>
  </sheetViews>
  <sheetFormatPr defaultRowHeight="12.75" x14ac:dyDescent="0.2"/>
  <cols>
    <col min="1" max="1" width="3.42578125" style="7" bestFit="1" customWidth="1"/>
    <col min="2" max="2" width="34" style="7" customWidth="1"/>
    <col min="3" max="3" width="35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6" t="str">
        <f>CONCATENATE(UPPER("18 - Gastos Administrativos")," - ",UPPER('00 - Entidade'!A14:E14))</f>
        <v>18 - GASTOS ADMINISTRATIVOS - B</v>
      </c>
      <c r="B1" s="117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38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 t="s">
        <v>33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 t="s">
        <v>33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 t="s">
        <v>33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 t="s">
        <v>33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 t="s">
        <v>33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 t="s">
        <v>33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 t="s">
        <v>33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 t="s">
        <v>33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 t="s">
        <v>33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 t="s">
        <v>33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14" t="s">
        <v>7</v>
      </c>
      <c r="B13" s="115"/>
      <c r="C13" s="115"/>
      <c r="D13" s="40">
        <f>SUM(TabelaGastosAdministrativos[Janeiro])</f>
        <v>0</v>
      </c>
      <c r="E13" s="40">
        <f>SUM(TabelaGastosAdministrativos[Fevereiro])</f>
        <v>0</v>
      </c>
      <c r="F13" s="40">
        <f>SUM(TabelaGastosAdministrativos[Março])</f>
        <v>0</v>
      </c>
      <c r="G13" s="40">
        <f>SUM(TabelaGastosAdministrativos[Abril])</f>
        <v>0</v>
      </c>
      <c r="H13" s="40">
        <f>SUM(TabelaGastosAdministrativos[Maio])</f>
        <v>0</v>
      </c>
      <c r="I13" s="40">
        <f>SUM(TabelaGastosAdministrativos[Junho])</f>
        <v>0</v>
      </c>
      <c r="J13" s="40">
        <f>SUM(TabelaGastosAdministrativos[Julho])</f>
        <v>0</v>
      </c>
      <c r="K13" s="40">
        <f>SUM(TabelaGastosAdministrativos[Agosto])</f>
        <v>0</v>
      </c>
      <c r="L13" s="40">
        <f>SUM(TabelaGastosAdministrativos[Setembro])</f>
        <v>0</v>
      </c>
      <c r="M13" s="40">
        <f>SUM(TabelaGastosAdministrativos[Outubro])</f>
        <v>0</v>
      </c>
      <c r="N13" s="40">
        <f>SUM(TabelaGastosAdministrativos[Novembro])</f>
        <v>0</v>
      </c>
      <c r="O13" s="40">
        <f>SUM(TabelaGastosAdministrativos[Dezembro])</f>
        <v>0</v>
      </c>
      <c r="P13" s="22">
        <f>SUM(P3:P12)</f>
        <v>0</v>
      </c>
    </row>
    <row r="17" ht="18" customHeight="1" x14ac:dyDescent="0.2"/>
  </sheetData>
  <mergeCells count="2">
    <mergeCell ref="A1:P1"/>
    <mergeCell ref="A13:C13"/>
  </mergeCells>
  <dataValidations count="1">
    <dataValidation type="list" allowBlank="1" showInputMessage="1" showErrorMessage="1" sqref="C3:C12" xr:uid="{00000000-0002-0000-0B00-000000000000}">
      <formula1>"Material de Expediente"</formula1>
    </dataValidation>
  </dataValidations>
  <pageMargins left="0.25" right="0.25" top="0.75" bottom="0.75" header="0.3" footer="0.3"/>
  <pageSetup paperSize="9" scale="55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P33"/>
  <sheetViews>
    <sheetView zoomScale="80" zoomScaleNormal="80" workbookViewId="0">
      <selection activeCell="H3" sqref="H3:H3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CONCATENATE(UPPER("01 - Salário")," - ",UPPER('00 - Entidade'!A14:E14))</f>
        <v>01 - SALÁRIO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15" t="s">
        <v>20</v>
      </c>
      <c r="B2" s="15" t="s">
        <v>0</v>
      </c>
      <c r="C2" s="16" t="s">
        <v>1</v>
      </c>
      <c r="D2" s="17" t="s">
        <v>11</v>
      </c>
      <c r="E2" s="17" t="s">
        <v>12</v>
      </c>
      <c r="F2" s="17" t="s">
        <v>13</v>
      </c>
      <c r="G2" s="17" t="s">
        <v>14</v>
      </c>
      <c r="H2" s="17" t="s">
        <v>19</v>
      </c>
      <c r="I2" s="17" t="s">
        <v>15</v>
      </c>
      <c r="J2" s="17" t="s">
        <v>16</v>
      </c>
      <c r="K2" s="17" t="s">
        <v>17</v>
      </c>
      <c r="L2" s="17" t="s">
        <v>24</v>
      </c>
      <c r="M2" s="17" t="s">
        <v>18</v>
      </c>
      <c r="N2" s="17" t="s">
        <v>22</v>
      </c>
      <c r="O2" s="17" t="s">
        <v>23</v>
      </c>
      <c r="P2" s="36" t="s">
        <v>2</v>
      </c>
    </row>
    <row r="3" spans="1:16" s="1" customFormat="1" x14ac:dyDescent="0.25">
      <c r="A3" s="27">
        <v>1</v>
      </c>
      <c r="B3" s="27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7">
        <f>SUM(D3:O3)</f>
        <v>0</v>
      </c>
    </row>
    <row r="4" spans="1:16" s="1" customFormat="1" x14ac:dyDescent="0.25">
      <c r="A4" s="30">
        <v>2</v>
      </c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>
        <f t="shared" ref="P4:P32" si="0">SUM(D4:O4)</f>
        <v>0</v>
      </c>
    </row>
    <row r="5" spans="1:16" s="1" customFormat="1" x14ac:dyDescent="0.25">
      <c r="A5" s="30">
        <v>3</v>
      </c>
      <c r="B5" s="30"/>
      <c r="C5" s="3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7">
        <f t="shared" si="0"/>
        <v>0</v>
      </c>
    </row>
    <row r="6" spans="1:16" s="1" customFormat="1" x14ac:dyDescent="0.25">
      <c r="A6" s="30">
        <v>4</v>
      </c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7">
        <f t="shared" si="0"/>
        <v>0</v>
      </c>
    </row>
    <row r="7" spans="1:16" s="1" customFormat="1" x14ac:dyDescent="0.25">
      <c r="A7" s="30">
        <v>5</v>
      </c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7">
        <f t="shared" ref="P7:P16" si="1">SUM(D7:O7)</f>
        <v>0</v>
      </c>
    </row>
    <row r="8" spans="1:16" s="1" customFormat="1" x14ac:dyDescent="0.25">
      <c r="A8" s="30">
        <v>6</v>
      </c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7">
        <f t="shared" si="1"/>
        <v>0</v>
      </c>
    </row>
    <row r="9" spans="1:16" s="1" customFormat="1" x14ac:dyDescent="0.25">
      <c r="A9" s="30">
        <v>7</v>
      </c>
      <c r="B9" s="30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7">
        <f t="shared" si="1"/>
        <v>0</v>
      </c>
    </row>
    <row r="10" spans="1:16" s="1" customFormat="1" x14ac:dyDescent="0.25">
      <c r="A10" s="30">
        <v>8</v>
      </c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7">
        <f t="shared" si="1"/>
        <v>0</v>
      </c>
    </row>
    <row r="11" spans="1:16" s="1" customFormat="1" x14ac:dyDescent="0.25">
      <c r="A11" s="30">
        <v>9</v>
      </c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7">
        <f t="shared" si="1"/>
        <v>0</v>
      </c>
    </row>
    <row r="12" spans="1:16" s="1" customFormat="1" x14ac:dyDescent="0.25">
      <c r="A12" s="30">
        <v>10</v>
      </c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7">
        <f t="shared" si="1"/>
        <v>0</v>
      </c>
    </row>
    <row r="13" spans="1:16" s="1" customFormat="1" x14ac:dyDescent="0.25">
      <c r="A13" s="30">
        <v>11</v>
      </c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7">
        <f t="shared" si="1"/>
        <v>0</v>
      </c>
    </row>
    <row r="14" spans="1:16" s="1" customFormat="1" x14ac:dyDescent="0.25">
      <c r="A14" s="30">
        <v>12</v>
      </c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7">
        <f t="shared" si="1"/>
        <v>0</v>
      </c>
    </row>
    <row r="15" spans="1:16" s="1" customFormat="1" x14ac:dyDescent="0.25">
      <c r="A15" s="30">
        <v>13</v>
      </c>
      <c r="B15" s="30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7">
        <f t="shared" si="1"/>
        <v>0</v>
      </c>
    </row>
    <row r="16" spans="1:16" s="1" customFormat="1" x14ac:dyDescent="0.25">
      <c r="A16" s="30">
        <v>14</v>
      </c>
      <c r="B16" s="30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7">
        <f t="shared" si="1"/>
        <v>0</v>
      </c>
    </row>
    <row r="17" spans="1:16" s="1" customFormat="1" x14ac:dyDescent="0.25">
      <c r="A17" s="30">
        <v>15</v>
      </c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7">
        <f>SUM(D17:O17)</f>
        <v>0</v>
      </c>
    </row>
    <row r="18" spans="1:16" s="1" customFormat="1" x14ac:dyDescent="0.25">
      <c r="A18" s="30">
        <v>16</v>
      </c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7">
        <f t="shared" si="0"/>
        <v>0</v>
      </c>
    </row>
    <row r="19" spans="1:16" s="1" customFormat="1" x14ac:dyDescent="0.25">
      <c r="A19" s="30">
        <v>17</v>
      </c>
      <c r="B19" s="30"/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7">
        <f t="shared" si="0"/>
        <v>0</v>
      </c>
    </row>
    <row r="20" spans="1:16" s="1" customFormat="1" x14ac:dyDescent="0.25">
      <c r="A20" s="30">
        <v>18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7">
        <f t="shared" si="0"/>
        <v>0</v>
      </c>
    </row>
    <row r="21" spans="1:16" s="1" customFormat="1" x14ac:dyDescent="0.25">
      <c r="A21" s="30">
        <v>19</v>
      </c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7">
        <f>SUM(D21:O21)</f>
        <v>0</v>
      </c>
    </row>
    <row r="22" spans="1:16" s="1" customFormat="1" x14ac:dyDescent="0.25">
      <c r="A22" s="30">
        <v>20</v>
      </c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7">
        <f t="shared" si="0"/>
        <v>0</v>
      </c>
    </row>
    <row r="23" spans="1:16" s="1" customFormat="1" x14ac:dyDescent="0.25">
      <c r="A23" s="30">
        <v>21</v>
      </c>
      <c r="B23" s="30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7">
        <f t="shared" si="0"/>
        <v>0</v>
      </c>
    </row>
    <row r="24" spans="1:16" s="1" customFormat="1" x14ac:dyDescent="0.25">
      <c r="A24" s="30">
        <v>22</v>
      </c>
      <c r="B24" s="30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7">
        <f t="shared" si="0"/>
        <v>0</v>
      </c>
    </row>
    <row r="25" spans="1:16" s="1" customFormat="1" x14ac:dyDescent="0.25">
      <c r="A25" s="30">
        <v>23</v>
      </c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7">
        <f t="shared" si="0"/>
        <v>0</v>
      </c>
    </row>
    <row r="26" spans="1:16" s="1" customFormat="1" x14ac:dyDescent="0.25">
      <c r="A26" s="30">
        <v>24</v>
      </c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7">
        <f t="shared" si="0"/>
        <v>0</v>
      </c>
    </row>
    <row r="27" spans="1:16" s="1" customFormat="1" x14ac:dyDescent="0.25">
      <c r="A27" s="30">
        <v>25</v>
      </c>
      <c r="B27" s="30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7">
        <f t="shared" si="0"/>
        <v>0</v>
      </c>
    </row>
    <row r="28" spans="1:16" s="1" customFormat="1" x14ac:dyDescent="0.25">
      <c r="A28" s="30">
        <v>26</v>
      </c>
      <c r="B28" s="30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7">
        <f t="shared" si="0"/>
        <v>0</v>
      </c>
    </row>
    <row r="29" spans="1:16" s="1" customFormat="1" x14ac:dyDescent="0.25">
      <c r="A29" s="30">
        <v>27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7">
        <f t="shared" si="0"/>
        <v>0</v>
      </c>
    </row>
    <row r="30" spans="1:16" s="1" customFormat="1" x14ac:dyDescent="0.25">
      <c r="A30" s="30">
        <v>28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7">
        <f>SUM(D30:O30)</f>
        <v>0</v>
      </c>
    </row>
    <row r="31" spans="1:16" s="1" customFormat="1" x14ac:dyDescent="0.25">
      <c r="A31" s="30">
        <v>29</v>
      </c>
      <c r="B31" s="30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7">
        <f>SUM(D31:O31)</f>
        <v>0</v>
      </c>
    </row>
    <row r="32" spans="1:16" s="1" customFormat="1" x14ac:dyDescent="0.25">
      <c r="A32" s="33">
        <v>30</v>
      </c>
      <c r="B32" s="33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8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SUM(TabelaSalarioBase[Janeiro])</f>
        <v>0</v>
      </c>
      <c r="E33" s="40">
        <f>SUM(TabelaSalarioBase[Fevereiro])</f>
        <v>0</v>
      </c>
      <c r="F33" s="40">
        <f>SUM(TabelaSalarioBase[Março])</f>
        <v>0</v>
      </c>
      <c r="G33" s="40">
        <f>SUM(TabelaSalarioBase[Abril])</f>
        <v>0</v>
      </c>
      <c r="H33" s="40">
        <f>SUM(TabelaSalarioBase[Maio])</f>
        <v>0</v>
      </c>
      <c r="I33" s="40">
        <f>SUM(TabelaSalarioBase[Junho])</f>
        <v>0</v>
      </c>
      <c r="J33" s="40">
        <f>SUM(TabelaSalarioBase[Julho])</f>
        <v>0</v>
      </c>
      <c r="K33" s="40">
        <f>SUM(TabelaSalarioBase[Agosto])</f>
        <v>0</v>
      </c>
      <c r="L33" s="40">
        <f>SUM(TabelaSalarioBase[Setembro])</f>
        <v>0</v>
      </c>
      <c r="M33" s="40">
        <f>SUM(TabelaSalarioBase[Outubro])</f>
        <v>0</v>
      </c>
      <c r="N33" s="40">
        <f>SUM(TabelaSalarioBase[Novembro])</f>
        <v>0</v>
      </c>
      <c r="O33" s="40">
        <f>SUM(TabelaSalarioBase[Dezembro])</f>
        <v>0</v>
      </c>
      <c r="P33" s="22">
        <f>SUM(P3:P32)</f>
        <v>0</v>
      </c>
    </row>
  </sheetData>
  <sheetProtection insertRows="0" deleteRows="0"/>
  <mergeCells count="2">
    <mergeCell ref="A1:P1"/>
    <mergeCell ref="A33:C33"/>
  </mergeCells>
  <pageMargins left="0.25" right="0.25" top="0.75" bottom="0.75" header="0.3" footer="0.3"/>
  <pageSetup paperSize="9" scale="54" fitToHeight="0" orientation="landscape" verticalDpi="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>
    <pageSetUpPr fitToPage="1"/>
  </sheetPr>
  <dimension ref="A1:P40"/>
  <sheetViews>
    <sheetView topLeftCell="C1" zoomScale="80" zoomScaleNormal="80" workbookViewId="0">
      <selection activeCell="D7" sqref="D7"/>
    </sheetView>
  </sheetViews>
  <sheetFormatPr defaultRowHeight="12.75" x14ac:dyDescent="0.2"/>
  <cols>
    <col min="1" max="1" width="3.42578125" style="7" bestFit="1" customWidth="1"/>
    <col min="2" max="2" width="39" style="7" customWidth="1"/>
    <col min="3" max="3" width="33.14062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6" t="str">
        <f>CONCATENATE(UPPER("19 - Serviço de Terceiros")," - ",UPPER('00 - Entidade'!A14:E14))</f>
        <v>19 - SERVIÇO DE TERCEIROS - B</v>
      </c>
      <c r="B1" s="117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38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14" t="s">
        <v>7</v>
      </c>
      <c r="B13" s="115"/>
      <c r="C13" s="115"/>
      <c r="D13" s="40">
        <f>SUM(TabelaServicosTerceiros[Janeiro])</f>
        <v>0</v>
      </c>
      <c r="E13" s="40">
        <f>SUM(TabelaServicosTerceiros[Fevereiro])</f>
        <v>0</v>
      </c>
      <c r="F13" s="40">
        <f>SUM(TabelaServicosTerceiros[Março])</f>
        <v>0</v>
      </c>
      <c r="G13" s="40">
        <f>SUM(TabelaServicosTerceiros[Abril])</f>
        <v>0</v>
      </c>
      <c r="H13" s="40">
        <f>SUM(TabelaServicosTerceiros[Maio])</f>
        <v>0</v>
      </c>
      <c r="I13" s="40">
        <f>SUM(TabelaServicosTerceiros[Junho])</f>
        <v>0</v>
      </c>
      <c r="J13" s="40">
        <f>SUM(TabelaServicosTerceiros[Julho])</f>
        <v>0</v>
      </c>
      <c r="K13" s="40">
        <f>SUM(TabelaServicosTerceiros[Agosto])</f>
        <v>0</v>
      </c>
      <c r="L13" s="40">
        <f>SUM(TabelaServicosTerceiros[Setembro])</f>
        <v>0</v>
      </c>
      <c r="M13" s="40">
        <f>SUM(TabelaServicosTerceiros[Outubro])</f>
        <v>0</v>
      </c>
      <c r="N13" s="40">
        <f>SUM(TabelaServicosTerceiros[Novembro])</f>
        <v>0</v>
      </c>
      <c r="O13" s="40">
        <f>SUM(TabelaServicosTerceiros[Dezembro])</f>
        <v>0</v>
      </c>
      <c r="P13" s="22">
        <f>SUM(P3:P12)</f>
        <v>0</v>
      </c>
    </row>
    <row r="17" spans="1:16" ht="18" x14ac:dyDescent="0.2">
      <c r="A17" s="118" t="s">
        <v>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</row>
    <row r="18" spans="1:16" x14ac:dyDescent="0.2">
      <c r="A18" s="39">
        <v>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1:16" x14ac:dyDescent="0.2">
      <c r="A19" s="39">
        <v>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0" spans="1:16" x14ac:dyDescent="0.2">
      <c r="A20" s="39">
        <v>3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1:16" x14ac:dyDescent="0.2">
      <c r="A21" s="39">
        <v>4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1:16" x14ac:dyDescent="0.2">
      <c r="A22" s="39">
        <v>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 x14ac:dyDescent="0.2">
      <c r="A23" s="39">
        <v>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 x14ac:dyDescent="0.2">
      <c r="A24" s="39">
        <v>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1:16" x14ac:dyDescent="0.2">
      <c r="A25" s="39">
        <v>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x14ac:dyDescent="0.2">
      <c r="A26" s="39">
        <v>9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6" x14ac:dyDescent="0.2">
      <c r="A27" s="39">
        <v>10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</row>
    <row r="30" spans="1:16" ht="18" x14ac:dyDescent="0.2">
      <c r="A30" s="118" t="s">
        <v>56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</row>
    <row r="31" spans="1:16" x14ac:dyDescent="0.2">
      <c r="A31" s="39">
        <v>1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</row>
    <row r="32" spans="1:16" x14ac:dyDescent="0.2">
      <c r="A32" s="39">
        <v>2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</row>
    <row r="33" spans="1:16" x14ac:dyDescent="0.2">
      <c r="A33" s="39">
        <v>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</row>
    <row r="34" spans="1:16" x14ac:dyDescent="0.2">
      <c r="A34" s="39">
        <v>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1:16" x14ac:dyDescent="0.2">
      <c r="A35" s="39">
        <v>5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1:16" x14ac:dyDescent="0.2">
      <c r="A36" s="39">
        <v>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1:16" x14ac:dyDescent="0.2">
      <c r="A37" s="39">
        <v>7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1:16" x14ac:dyDescent="0.2">
      <c r="A38" s="39">
        <v>8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x14ac:dyDescent="0.2">
      <c r="A39" s="39">
        <v>9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16" x14ac:dyDescent="0.2">
      <c r="A40" s="39">
        <v>10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</sheetData>
  <mergeCells count="24">
    <mergeCell ref="B37:P37"/>
    <mergeCell ref="B38:P38"/>
    <mergeCell ref="B39:P39"/>
    <mergeCell ref="B40:P40"/>
    <mergeCell ref="B32:P32"/>
    <mergeCell ref="B33:P33"/>
    <mergeCell ref="B34:P34"/>
    <mergeCell ref="B35:P35"/>
    <mergeCell ref="B36:P36"/>
    <mergeCell ref="B25:P25"/>
    <mergeCell ref="B26:P26"/>
    <mergeCell ref="B27:P27"/>
    <mergeCell ref="A30:P30"/>
    <mergeCell ref="B31:P31"/>
    <mergeCell ref="B20:P20"/>
    <mergeCell ref="B21:P21"/>
    <mergeCell ref="B22:P22"/>
    <mergeCell ref="B23:P23"/>
    <mergeCell ref="B24:P24"/>
    <mergeCell ref="A1:P1"/>
    <mergeCell ref="A13:C13"/>
    <mergeCell ref="A17:P17"/>
    <mergeCell ref="B18:P18"/>
    <mergeCell ref="B19:P19"/>
  </mergeCells>
  <dataValidations count="1">
    <dataValidation type="list" allowBlank="1" showInputMessage="1" showErrorMessage="1" sqref="C3:C12" xr:uid="{00000000-0002-0000-0C00-000000000000}">
      <formula1>"Outros Serviços de Terceiros PF - Justificar,Outros Serviços de Terceiros PJ - Justificar"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906D-4224-4822-ADA8-0CCE7D7531F3}">
  <sheetPr>
    <pageSetUpPr fitToPage="1"/>
  </sheetPr>
  <dimension ref="A1:P27"/>
  <sheetViews>
    <sheetView zoomScale="80" zoomScaleNormal="80" workbookViewId="0">
      <selection activeCell="E7" sqref="E7"/>
    </sheetView>
  </sheetViews>
  <sheetFormatPr defaultRowHeight="12.75" x14ac:dyDescent="0.2"/>
  <cols>
    <col min="1" max="1" width="3.42578125" style="7" bestFit="1" customWidth="1"/>
    <col min="2" max="2" width="36.28515625" style="7" customWidth="1"/>
    <col min="3" max="3" width="35.7109375" style="7" customWidth="1"/>
    <col min="4" max="15" width="14.28515625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6" t="str">
        <f>CONCATENATE(UPPER("21 - Materiais")," - ",UPPER('00 - Entidade'!A14:E14))</f>
        <v>21 - MATERIAIS - B</v>
      </c>
      <c r="B1" s="117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38</v>
      </c>
      <c r="C2" s="5" t="s">
        <v>25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/>
      <c r="C3" s="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/>
      <c r="C4" s="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12" si="0">SUM(D4:O4)</f>
        <v>0</v>
      </c>
    </row>
    <row r="5" spans="1:16" s="1" customFormat="1" x14ac:dyDescent="0.25">
      <c r="A5" s="8">
        <f>TabelaSalarioBase[[#This Row],[Nº]]</f>
        <v>3</v>
      </c>
      <c r="B5" s="8"/>
      <c r="C5" s="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/>
      <c r="C6" s="8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/>
      <c r="C7" s="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/>
      <c r="C8" s="8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/>
      <c r="C9" s="8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/>
      <c r="C10" s="8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/>
      <c r="C11" s="8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/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ht="18" x14ac:dyDescent="0.25">
      <c r="A13" s="114" t="s">
        <v>7</v>
      </c>
      <c r="B13" s="115"/>
      <c r="C13" s="115"/>
      <c r="D13" s="40">
        <f>SUM(TabelaMateriais[Janeiro])</f>
        <v>0</v>
      </c>
      <c r="E13" s="40">
        <f>SUM(TabelaMateriais[Fevereiro])</f>
        <v>0</v>
      </c>
      <c r="F13" s="40">
        <f>SUM(TabelaMateriais[Março])</f>
        <v>0</v>
      </c>
      <c r="G13" s="40">
        <f>SUM(TabelaMateriais[Abril])</f>
        <v>0</v>
      </c>
      <c r="H13" s="40">
        <f>SUM(TabelaMateriais[Maio])</f>
        <v>0</v>
      </c>
      <c r="I13" s="40">
        <f>SUM(TabelaMateriais[Junho])</f>
        <v>0</v>
      </c>
      <c r="J13" s="40">
        <f>SUM(TabelaMateriais[Julho])</f>
        <v>0</v>
      </c>
      <c r="K13" s="40">
        <f>SUM(TabelaMateriais[Agosto])</f>
        <v>0</v>
      </c>
      <c r="L13" s="40">
        <f>SUM(TabelaMateriais[Setembro])</f>
        <v>0</v>
      </c>
      <c r="M13" s="40">
        <f>SUM(TabelaMateriais[Outubro])</f>
        <v>0</v>
      </c>
      <c r="N13" s="40">
        <f>SUM(TabelaMateriais[Novembro])</f>
        <v>0</v>
      </c>
      <c r="O13" s="40">
        <f>SUM(TabelaMateriais[Dezembro])</f>
        <v>0</v>
      </c>
      <c r="P13" s="22">
        <f>SUM(P3:P12)</f>
        <v>0</v>
      </c>
    </row>
    <row r="17" spans="1:16" ht="18" x14ac:dyDescent="0.2">
      <c r="A17" s="118" t="s">
        <v>49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</row>
    <row r="18" spans="1:16" x14ac:dyDescent="0.2">
      <c r="A18" s="39">
        <v>1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1:16" x14ac:dyDescent="0.2">
      <c r="A19" s="39">
        <v>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0" spans="1:16" x14ac:dyDescent="0.2">
      <c r="A20" s="39">
        <v>3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1:16" x14ac:dyDescent="0.2">
      <c r="A21" s="39">
        <v>4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1:16" x14ac:dyDescent="0.2">
      <c r="A22" s="39">
        <v>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 x14ac:dyDescent="0.2">
      <c r="A23" s="39">
        <v>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 x14ac:dyDescent="0.2">
      <c r="A24" s="39">
        <v>7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1:16" x14ac:dyDescent="0.2">
      <c r="A25" s="39">
        <v>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x14ac:dyDescent="0.2">
      <c r="A26" s="39">
        <v>9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6" x14ac:dyDescent="0.2">
      <c r="A27" s="39">
        <v>10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</row>
  </sheetData>
  <mergeCells count="13">
    <mergeCell ref="B20:P20"/>
    <mergeCell ref="A1:P1"/>
    <mergeCell ref="A13:C13"/>
    <mergeCell ref="A17:P17"/>
    <mergeCell ref="B18:P18"/>
    <mergeCell ref="B19:P19"/>
    <mergeCell ref="B27:P27"/>
    <mergeCell ref="B21:P21"/>
    <mergeCell ref="B22:P22"/>
    <mergeCell ref="B23:P23"/>
    <mergeCell ref="B24:P24"/>
    <mergeCell ref="B25:P25"/>
    <mergeCell ref="B26:P26"/>
  </mergeCells>
  <dataValidations count="1">
    <dataValidation type="list" allowBlank="1" showInputMessage="1" showErrorMessage="1" sqref="C3:C12" xr:uid="{5D58F432-16F3-41B9-B9FF-456FC0DA4337}">
      <formula1>"Material Esportivo, Uniformes - Atendidos, Outros Materiais (Especificar)"</formula1>
    </dataValidation>
  </dataValidations>
  <pageMargins left="0.25" right="0.25" top="0.75" bottom="0.75" header="0.3" footer="0.3"/>
  <pageSetup paperSize="9" scale="53" fitToHeight="0" orientation="landscape" verticalDpi="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>
    <pageSetUpPr fitToPage="1"/>
  </sheetPr>
  <dimension ref="A1:O26"/>
  <sheetViews>
    <sheetView zoomScale="80" zoomScaleNormal="80" workbookViewId="0">
      <selection activeCell="C3" sqref="C3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14" width="14.28515625" style="2" bestFit="1" customWidth="1"/>
    <col min="15" max="15" width="21.42578125" style="2" bestFit="1" customWidth="1"/>
    <col min="16" max="16384" width="9.140625" style="2"/>
  </cols>
  <sheetData>
    <row r="1" spans="1:15" s="1" customFormat="1" ht="50.1" customHeight="1" thickBot="1" x14ac:dyDescent="0.3">
      <c r="A1" s="116" t="str">
        <f>CONCATENATE(UPPER("25 - Diversos")," - ",UPPER('00 - Entidade'!A14:E14))</f>
        <v>25 - DIVERSOS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s="1" customFormat="1" x14ac:dyDescent="0.25">
      <c r="A2" s="5" t="s">
        <v>20</v>
      </c>
      <c r="B2" s="5" t="s">
        <v>38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19</v>
      </c>
      <c r="H2" s="3" t="s">
        <v>15</v>
      </c>
      <c r="I2" s="3" t="s">
        <v>16</v>
      </c>
      <c r="J2" s="3" t="s">
        <v>17</v>
      </c>
      <c r="K2" s="3" t="s">
        <v>24</v>
      </c>
      <c r="L2" s="3" t="s">
        <v>18</v>
      </c>
      <c r="M2" s="3" t="s">
        <v>22</v>
      </c>
      <c r="N2" s="3" t="s">
        <v>23</v>
      </c>
      <c r="O2" s="4" t="s">
        <v>2</v>
      </c>
    </row>
    <row r="3" spans="1:15" s="1" customFormat="1" x14ac:dyDescent="0.25">
      <c r="A3" s="8">
        <f>TabelaSalarioBase[[#This Row],[Nº]]</f>
        <v>1</v>
      </c>
      <c r="B3" s="8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>
        <f>SUM(C3:N3)</f>
        <v>0</v>
      </c>
    </row>
    <row r="4" spans="1:15" s="1" customFormat="1" x14ac:dyDescent="0.25">
      <c r="A4" s="8">
        <f>TabelaSalarioBase[[#This Row],[Nº]]</f>
        <v>2</v>
      </c>
      <c r="B4" s="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">
        <f t="shared" ref="O4:O12" si="0">SUM(C4:N4)</f>
        <v>0</v>
      </c>
    </row>
    <row r="5" spans="1:15" s="1" customFormat="1" x14ac:dyDescent="0.25">
      <c r="A5" s="8">
        <f>TabelaSalarioBase[[#This Row],[Nº]]</f>
        <v>3</v>
      </c>
      <c r="B5" s="8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>
        <f t="shared" si="0"/>
        <v>0</v>
      </c>
    </row>
    <row r="6" spans="1:15" s="1" customFormat="1" x14ac:dyDescent="0.25">
      <c r="A6" s="8">
        <f>TabelaSalarioBase[[#This Row],[Nº]]</f>
        <v>4</v>
      </c>
      <c r="B6" s="8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1">
        <f t="shared" si="0"/>
        <v>0</v>
      </c>
    </row>
    <row r="7" spans="1:15" s="1" customFormat="1" x14ac:dyDescent="0.25">
      <c r="A7" s="8">
        <f>TabelaSalarioBase[[#This Row],[Nº]]</f>
        <v>5</v>
      </c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>
        <f t="shared" si="0"/>
        <v>0</v>
      </c>
    </row>
    <row r="8" spans="1:15" s="1" customFormat="1" x14ac:dyDescent="0.25">
      <c r="A8" s="8">
        <f>TabelaSalarioBase[[#This Row],[Nº]]</f>
        <v>6</v>
      </c>
      <c r="B8" s="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>
        <f t="shared" si="0"/>
        <v>0</v>
      </c>
    </row>
    <row r="9" spans="1:15" s="1" customFormat="1" x14ac:dyDescent="0.25">
      <c r="A9" s="8">
        <f>TabelaSalarioBase[[#This Row],[Nº]]</f>
        <v>7</v>
      </c>
      <c r="B9" s="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f t="shared" si="0"/>
        <v>0</v>
      </c>
    </row>
    <row r="10" spans="1:15" s="1" customFormat="1" x14ac:dyDescent="0.25">
      <c r="A10" s="8">
        <f>TabelaSalarioBase[[#This Row],[Nº]]</f>
        <v>8</v>
      </c>
      <c r="B10" s="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1">
        <f t="shared" si="0"/>
        <v>0</v>
      </c>
    </row>
    <row r="11" spans="1:15" s="1" customFormat="1" x14ac:dyDescent="0.25">
      <c r="A11" s="8">
        <f>TabelaSalarioBase[[#This Row],[Nº]]</f>
        <v>9</v>
      </c>
      <c r="B11" s="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>
        <f t="shared" si="0"/>
        <v>0</v>
      </c>
    </row>
    <row r="12" spans="1:15" s="1" customFormat="1" x14ac:dyDescent="0.25">
      <c r="A12" s="8">
        <f>TabelaSalarioBase[[#This Row],[Nº]]</f>
        <v>10</v>
      </c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>
        <f t="shared" si="0"/>
        <v>0</v>
      </c>
    </row>
    <row r="13" spans="1:15" ht="18" x14ac:dyDescent="0.25">
      <c r="A13" s="127" t="s">
        <v>7</v>
      </c>
      <c r="B13" s="128"/>
      <c r="C13" s="40">
        <f>SUM(TabelaDiversos[Janeiro])</f>
        <v>0</v>
      </c>
      <c r="D13" s="40">
        <f>SUM(TabelaDiversos[Fevereiro])</f>
        <v>0</v>
      </c>
      <c r="E13" s="40">
        <f>SUM(TabelaDiversos[Março])</f>
        <v>0</v>
      </c>
      <c r="F13" s="40">
        <f>SUM(TabelaDiversos[Abril])</f>
        <v>0</v>
      </c>
      <c r="G13" s="40">
        <f>SUM(TabelaDiversos[Maio])</f>
        <v>0</v>
      </c>
      <c r="H13" s="40">
        <f>SUM(TabelaDiversos[Junho])</f>
        <v>0</v>
      </c>
      <c r="I13" s="40">
        <f>SUM(TabelaDiversos[Julho])</f>
        <v>0</v>
      </c>
      <c r="J13" s="40">
        <f>SUM(TabelaDiversos[Agosto])</f>
        <v>0</v>
      </c>
      <c r="K13" s="40">
        <f>SUM(TabelaDiversos[Setembro])</f>
        <v>0</v>
      </c>
      <c r="L13" s="40">
        <f>SUM(TabelaDiversos[Outubro])</f>
        <v>0</v>
      </c>
      <c r="M13" s="40">
        <f>SUM(TabelaDiversos[Novembro])</f>
        <v>0</v>
      </c>
      <c r="N13" s="40">
        <f>SUM(TabelaDiversos[Dezembro])</f>
        <v>0</v>
      </c>
      <c r="O13" s="22">
        <f>SUM(O3:O12)</f>
        <v>0</v>
      </c>
    </row>
    <row r="14" spans="1:15" ht="18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6" spans="1:15" ht="50.1" customHeight="1" x14ac:dyDescent="0.2">
      <c r="A16" s="124" t="s">
        <v>28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6"/>
    </row>
    <row r="17" spans="1:15" ht="12.75" customHeight="1" x14ac:dyDescent="0.2">
      <c r="A17" s="39">
        <v>1</v>
      </c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3"/>
    </row>
    <row r="18" spans="1:15" x14ac:dyDescent="0.2">
      <c r="A18" s="39">
        <v>2</v>
      </c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3"/>
    </row>
    <row r="19" spans="1:15" x14ac:dyDescent="0.2">
      <c r="A19" s="39">
        <v>3</v>
      </c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3"/>
    </row>
    <row r="20" spans="1:15" x14ac:dyDescent="0.2">
      <c r="A20" s="39">
        <v>4</v>
      </c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3"/>
    </row>
    <row r="21" spans="1:15" x14ac:dyDescent="0.2">
      <c r="A21" s="39">
        <v>5</v>
      </c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</row>
    <row r="22" spans="1:15" x14ac:dyDescent="0.2">
      <c r="A22" s="39">
        <v>6</v>
      </c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3"/>
    </row>
    <row r="23" spans="1:15" x14ac:dyDescent="0.2">
      <c r="A23" s="39">
        <v>7</v>
      </c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3"/>
    </row>
    <row r="24" spans="1:15" x14ac:dyDescent="0.2">
      <c r="A24" s="39">
        <v>8</v>
      </c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</row>
    <row r="25" spans="1:15" x14ac:dyDescent="0.2">
      <c r="A25" s="39">
        <v>9</v>
      </c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</row>
    <row r="26" spans="1:15" x14ac:dyDescent="0.2">
      <c r="A26" s="39">
        <v>10</v>
      </c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3"/>
    </row>
  </sheetData>
  <mergeCells count="13">
    <mergeCell ref="A13:B13"/>
    <mergeCell ref="B23:O23"/>
    <mergeCell ref="A1:O1"/>
    <mergeCell ref="B17:O17"/>
    <mergeCell ref="B18:O18"/>
    <mergeCell ref="B19:O19"/>
    <mergeCell ref="B24:O24"/>
    <mergeCell ref="B25:O25"/>
    <mergeCell ref="B26:O26"/>
    <mergeCell ref="A16:O16"/>
    <mergeCell ref="B20:O20"/>
    <mergeCell ref="B21:O21"/>
    <mergeCell ref="B22:O22"/>
  </mergeCells>
  <pageMargins left="0.25" right="0.25" top="0.75" bottom="0.75" header="0.3" footer="0.3"/>
  <pageSetup paperSize="9" scale="61" fitToHeight="0" orientation="landscape" verticalDpi="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>
    <pageSetUpPr fitToPage="1"/>
  </sheetPr>
  <dimension ref="A1:O28"/>
  <sheetViews>
    <sheetView zoomScaleNormal="100" workbookViewId="0">
      <selection sqref="A1:O1"/>
    </sheetView>
  </sheetViews>
  <sheetFormatPr defaultRowHeight="12.75" x14ac:dyDescent="0.2"/>
  <cols>
    <col min="1" max="1" width="15.85546875" style="2" customWidth="1"/>
    <col min="2" max="2" width="34" style="7" customWidth="1"/>
    <col min="3" max="14" width="15.28515625" style="2" bestFit="1" customWidth="1"/>
    <col min="15" max="15" width="26.140625" style="2" customWidth="1"/>
    <col min="16" max="16384" width="9.140625" style="2"/>
  </cols>
  <sheetData>
    <row r="1" spans="1:15" ht="49.5" customHeight="1" x14ac:dyDescent="0.2">
      <c r="A1" s="129" t="str">
        <f>CONCATENATE(UPPER("30 - TOTAL")," - ",UPPER('00 - Entidade'!A14:E14))</f>
        <v>30 - TOTAL - B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</row>
    <row r="2" spans="1:15" s="1" customFormat="1" ht="18" x14ac:dyDescent="0.25">
      <c r="A2" s="134" t="s">
        <v>75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</row>
    <row r="3" spans="1:15" s="1" customFormat="1" ht="13.5" thickBot="1" x14ac:dyDescent="0.3">
      <c r="A3" s="83"/>
      <c r="B3" s="5" t="s">
        <v>25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19</v>
      </c>
      <c r="H3" s="3" t="s">
        <v>15</v>
      </c>
      <c r="I3" s="3" t="s">
        <v>16</v>
      </c>
      <c r="J3" s="3" t="s">
        <v>17</v>
      </c>
      <c r="K3" s="3" t="s">
        <v>24</v>
      </c>
      <c r="L3" s="3" t="s">
        <v>18</v>
      </c>
      <c r="M3" s="3" t="s">
        <v>22</v>
      </c>
      <c r="N3" s="3" t="s">
        <v>23</v>
      </c>
      <c r="O3" s="71" t="s">
        <v>2</v>
      </c>
    </row>
    <row r="4" spans="1:15" s="1" customFormat="1" x14ac:dyDescent="0.25">
      <c r="A4" s="137" t="s">
        <v>43</v>
      </c>
      <c r="B4" s="45" t="s">
        <v>39</v>
      </c>
      <c r="C4" s="54">
        <f>SUM(TabelaSalarioBase[Janeiro])</f>
        <v>0</v>
      </c>
      <c r="D4" s="54">
        <f>SUM(TabelaSalarioBase[Fevereiro])</f>
        <v>0</v>
      </c>
      <c r="E4" s="54">
        <f>SUM(TabelaSalarioBase[Março])</f>
        <v>0</v>
      </c>
      <c r="F4" s="54">
        <f>SUM(TabelaSalarioBase[Abril])</f>
        <v>0</v>
      </c>
      <c r="G4" s="54">
        <f>SUM(TabelaSalarioBase[Maio])</f>
        <v>0</v>
      </c>
      <c r="H4" s="54">
        <f>SUM(TabelaSalarioBase[Junho])</f>
        <v>0</v>
      </c>
      <c r="I4" s="54">
        <f>SUM(TabelaSalarioBase[Julho])</f>
        <v>0</v>
      </c>
      <c r="J4" s="54">
        <f>SUM(TabelaSalarioBase[Agosto])</f>
        <v>0</v>
      </c>
      <c r="K4" s="54">
        <f>SUM(TabelaSalarioBase[Setembro])</f>
        <v>0</v>
      </c>
      <c r="L4" s="54">
        <f>SUM(TabelaSalarioBase[Outubro])</f>
        <v>0</v>
      </c>
      <c r="M4" s="54">
        <f>SUM(TabelaSalarioBase[Novembro])</f>
        <v>0</v>
      </c>
      <c r="N4" s="54">
        <f>SUM(TabelaSalarioBase[Dezembro])</f>
        <v>0</v>
      </c>
      <c r="O4" s="55">
        <f>SUM(C4:N4)</f>
        <v>0</v>
      </c>
    </row>
    <row r="5" spans="1:15" s="1" customFormat="1" x14ac:dyDescent="0.25">
      <c r="A5" s="138"/>
      <c r="B5" s="44" t="s">
        <v>6</v>
      </c>
      <c r="C5" s="56">
        <f>SUM(TabelaIRPF[Janeiro])+SUMIF(TabelaFERIAS[Parcela],"Janeiro",TabelaFERIAS[IRPF])</f>
        <v>0</v>
      </c>
      <c r="D5" s="56">
        <f>SUM(TabelaIRPF[Fevereiro])+SUMIF(TabelaFERIAS[Parcela],"Fevereiro",TabelaFERIAS[IRPF])</f>
        <v>0</v>
      </c>
      <c r="E5" s="56">
        <f>SUM(TabelaIRPF[Março])+SUMIF(TabelaFERIAS[Parcela],"Março",TabelaFERIAS[IRPF])</f>
        <v>0</v>
      </c>
      <c r="F5" s="56">
        <f>SUM(TabelaIRPF[Abril])+SUMIF(TabelaFERIAS[Parcela],"Abril",TabelaFERIAS[IRPF])</f>
        <v>0</v>
      </c>
      <c r="G5" s="56">
        <f>SUM(TabelaIRPF[Maio])+SUMIF(TabelaFERIAS[Parcela],"Maio",TabelaFERIAS[IRPF])</f>
        <v>0</v>
      </c>
      <c r="H5" s="56">
        <f>SUM(TabelaIRPF[Junho])+SUMIF(TabelaFERIAS[Parcela],"Junho",TabelaFERIAS[IRPF])</f>
        <v>0</v>
      </c>
      <c r="I5" s="56">
        <f>SUM(TabelaIRPF[Julho])+SUMIF(TabelaFERIAS[Parcela],"Julho",TabelaFERIAS[IRPF])</f>
        <v>0</v>
      </c>
      <c r="J5" s="56">
        <f>SUM(TabelaIRPF[Agosto])+SUMIF(TabelaFERIAS[Parcela],"Agosto",TabelaFERIAS[IRPF])</f>
        <v>0</v>
      </c>
      <c r="K5" s="56">
        <f>SUM(TabelaIRPF[Setembro])+SUMIF(TabelaFERIAS[Parcela],"Setembro",TabelaFERIAS[IRPF])</f>
        <v>0</v>
      </c>
      <c r="L5" s="56">
        <f>SUM(TabelaIRPF[Outubro])+SUMIF(TabelaFERIAS[Parcela],"Outubro",TabelaFERIAS[IRPF])</f>
        <v>0</v>
      </c>
      <c r="M5" s="56">
        <f>SUM(TabelaIRPF[Novembro])+SUM(Tabela13Salario[IRPF])+SUMIF(TabelaFERIAS[Parcela],"Novembro",TabelaFERIAS[IRPF])</f>
        <v>0</v>
      </c>
      <c r="N5" s="56">
        <f>SUM(TabelaIRPF[Dezembro])+SUMIF(TabelaFERIAS[Parcela],"Dezembro",TabelaFERIAS[IRPF])</f>
        <v>0</v>
      </c>
      <c r="O5" s="63">
        <f t="shared" ref="O5" si="0">SUM(C5:N5)</f>
        <v>0</v>
      </c>
    </row>
    <row r="6" spans="1:15" s="1" customFormat="1" x14ac:dyDescent="0.25">
      <c r="A6" s="138"/>
      <c r="B6" s="44" t="s">
        <v>3</v>
      </c>
      <c r="C6" s="56">
        <f>SUM(TabelaINSS[Janeiro])+SUMIF(TabelaFERIAS[Parcela],"Janeiro",TabelaFERIAS[INSS])</f>
        <v>0</v>
      </c>
      <c r="D6" s="56">
        <f>SUM(TabelaINSS[Fevereiro])+SUMIF(TabelaFERIAS[Parcela],"Fevereiro",TabelaFERIAS[INSS])</f>
        <v>0</v>
      </c>
      <c r="E6" s="56">
        <f>SUM(TabelaINSS[Março])+SUMIF(TabelaFERIAS[Parcela],"Março",TabelaFERIAS[INSS])</f>
        <v>0</v>
      </c>
      <c r="F6" s="56">
        <f>SUM(TabelaINSS[Abril])++SUMIF(TabelaFERIAS[Parcela],"Abril",TabelaFERIAS[INSS])</f>
        <v>0</v>
      </c>
      <c r="G6" s="56">
        <f>SUM(TabelaINSS[Maio])+SUMIF(TabelaFERIAS[Parcela],"Maio",TabelaFERIAS[INSS])</f>
        <v>0</v>
      </c>
      <c r="H6" s="56">
        <f>SUM(TabelaINSS[Junho])+SUMIF(TabelaFERIAS[Parcela],"Junho",TabelaFERIAS[INSS])</f>
        <v>0</v>
      </c>
      <c r="I6" s="56">
        <f>SUM(TabelaINSS[Julho])+SUMIF(TabelaFERIAS[Parcela],"Julho",TabelaFERIAS[INSS])</f>
        <v>0</v>
      </c>
      <c r="J6" s="56">
        <f>SUM(TabelaINSS[Agosto])+SUMIF(TabelaFERIAS[Parcela],"Agosto",TabelaFERIAS[INSS])</f>
        <v>0</v>
      </c>
      <c r="K6" s="56">
        <f>SUM(TabelaINSS[Setembro])+SUMIF(TabelaFERIAS[Parcela],"Setembro",TabelaFERIAS[INSS])</f>
        <v>0</v>
      </c>
      <c r="L6" s="56">
        <f>SUM(TabelaINSS[Outubro])+SUMIF(TabelaFERIAS[Parcela],"Outubro",TabelaFERIAS[INSS])</f>
        <v>0</v>
      </c>
      <c r="M6" s="56">
        <f>SUM(TabelaINSS[Novembro])+SUM(Tabela13Salario[INSS])+SUMIF(TabelaFERIAS[Parcela],"Novembro",TabelaFERIAS[INSS])</f>
        <v>0</v>
      </c>
      <c r="N6" s="56">
        <f>SUM(TabelaINSS[Dezembro])+SUMIF(TabelaFERIAS[Parcela],"Dezembro",TabelaFERIAS[INSS])</f>
        <v>0</v>
      </c>
      <c r="O6" s="63">
        <f t="shared" ref="O6" si="1">SUM(C6:N6)</f>
        <v>0</v>
      </c>
    </row>
    <row r="7" spans="1:15" s="1" customFormat="1" x14ac:dyDescent="0.25">
      <c r="A7" s="138"/>
      <c r="B7" s="44" t="s">
        <v>4</v>
      </c>
      <c r="C7" s="56">
        <f>SUM(TabelaFGTS[Janeiro])+SUMIF(TabelaFERIAS[Parcela],"Janeiro",TabelaFERIAS[FGTS])</f>
        <v>0</v>
      </c>
      <c r="D7" s="56">
        <f>SUM(TabelaFGTS[Fevereiro])+SUMIF(TabelaFERIAS[Parcela],"Fevereiro",TabelaFERIAS[FGTS])</f>
        <v>0</v>
      </c>
      <c r="E7" s="56">
        <f>SUM(TabelaFGTS[Março])+SUMIF(TabelaFERIAS[Parcela],"Março",TabelaFERIAS[FGTS])</f>
        <v>0</v>
      </c>
      <c r="F7" s="56">
        <f>SUM(TabelaFGTS[Abril])+SUMIF(TabelaFERIAS[Parcela],"Abril",TabelaFERIAS[FGTS])</f>
        <v>0</v>
      </c>
      <c r="G7" s="56">
        <f>SUM(TabelaFGTS[Maio])+SUMIF(TabelaFERIAS[Parcela],"Maio",TabelaFERIAS[FGTS])</f>
        <v>0</v>
      </c>
      <c r="H7" s="56">
        <f>SUM(TabelaFGTS[Junho])+SUMIF(TabelaFERIAS[Parcela],"Junho",TabelaFERIAS[FGTS])</f>
        <v>0</v>
      </c>
      <c r="I7" s="56">
        <f>SUM(TabelaFGTS[Julho])+SUMIF(TabelaFERIAS[Parcela],"Julho",TabelaFERIAS[FGTS])</f>
        <v>0</v>
      </c>
      <c r="J7" s="56">
        <f>SUM(TabelaFGTS[Agosto])+SUMIF(TabelaFERIAS[Parcela],"Agosto",TabelaFERIAS[FGTS])</f>
        <v>0</v>
      </c>
      <c r="K7" s="56">
        <f>SUM(TabelaFGTS[Setembro])+SUMIF(TabelaFERIAS[Parcela],"Setembro",TabelaFERIAS[FGTS])</f>
        <v>0</v>
      </c>
      <c r="L7" s="56">
        <f>SUM(TabelaFGTS[Outubro])+SUMIF(TabelaFERIAS[Parcela],"Outubro",TabelaFERIAS[FGTS])</f>
        <v>0</v>
      </c>
      <c r="M7" s="56">
        <f>SUM(TabelaFGTS[Novembro])+SUM(Tabela13Salario[FGTS])+SUMIF(TabelaFERIAS[Parcela],"Novembro",TabelaFERIAS[FGTS])</f>
        <v>0</v>
      </c>
      <c r="N7" s="56">
        <f>SUM(TabelaFGTS[Dezembro])+SUMIF(TabelaFERIAS[Parcela],"Dezembro",TabelaFERIAS[FGTS])</f>
        <v>0</v>
      </c>
      <c r="O7" s="63">
        <f t="shared" ref="O7:O21" si="2">SUM(C7:N7)</f>
        <v>0</v>
      </c>
    </row>
    <row r="8" spans="1:15" s="1" customFormat="1" x14ac:dyDescent="0.25">
      <c r="A8" s="138"/>
      <c r="B8" s="44" t="s">
        <v>29</v>
      </c>
      <c r="C8" s="56">
        <f>SUM(TabelaINSSPatronal[Janeiro])+SUMIF(TabelaFERIAS[Parcela],"Janeiro",TabelaFERIAS[INSS Patronal])</f>
        <v>0</v>
      </c>
      <c r="D8" s="56">
        <f>SUM(TabelaINSSPatronal[Fevereiro])+SUMIF(TabelaFERIAS[Parcela],"Fevereiro",TabelaFERIAS[INSS Patronal])</f>
        <v>0</v>
      </c>
      <c r="E8" s="56">
        <f>SUM(TabelaINSSPatronal[Março])+SUMIF(TabelaFERIAS[Parcela],"Março",TabelaFERIAS[INSS Patronal])</f>
        <v>0</v>
      </c>
      <c r="F8" s="56">
        <f>SUM(TabelaINSSPatronal[Abril])+SUMIF(TabelaFERIAS[Parcela],"Abril",TabelaFERIAS[INSS Patronal])</f>
        <v>0</v>
      </c>
      <c r="G8" s="56">
        <f>SUM(TabelaINSSPatronal[Maio])+SUMIF(TabelaFERIAS[Parcela],"Maio",TabelaFERIAS[INSS Patronal])</f>
        <v>0</v>
      </c>
      <c r="H8" s="56">
        <f>SUM(TabelaINSSPatronal[Junho])+SUMIF(TabelaFERIAS[Parcela],"Junho",TabelaFERIAS[INSS Patronal])</f>
        <v>0</v>
      </c>
      <c r="I8" s="56">
        <f>SUM(TabelaINSSPatronal[Julho])+SUMIF(TabelaFERIAS[Parcela],"Julho",TabelaFERIAS[INSS Patronal])</f>
        <v>0</v>
      </c>
      <c r="J8" s="56">
        <f>SUM(TabelaINSSPatronal[Agosto])+SUMIF(TabelaFERIAS[Parcela],"Agosto",TabelaFERIAS[INSS Patronal])</f>
        <v>0</v>
      </c>
      <c r="K8" s="56">
        <f>SUM(TabelaINSSPatronal[Setembro])+SUMIF(TabelaFERIAS[Parcela],"Setembro",TabelaFERIAS[INSS Patronal])</f>
        <v>0</v>
      </c>
      <c r="L8" s="56">
        <f>SUM(TabelaINSSPatronal[Outubro])+SUMIF(TabelaFERIAS[Parcela],"Outubro",TabelaFERIAS[INSS Patronal])</f>
        <v>0</v>
      </c>
      <c r="M8" s="56">
        <f>SUM(TabelaINSSPatronal[Novembro])+SUM(Tabela13Salario[INSS Patronal])+SUMIF(TabelaFERIAS[Parcela],"Novembro",TabelaFERIAS[INSS Patronal])</f>
        <v>0</v>
      </c>
      <c r="N8" s="56">
        <f>SUM(TabelaINSSPatronal[Dezembro])+SUMIF(TabelaFERIAS[Parcela],"Dezembro",TabelaFERIAS[INSS Patronal])</f>
        <v>0</v>
      </c>
      <c r="O8" s="63">
        <f t="shared" si="2"/>
        <v>0</v>
      </c>
    </row>
    <row r="9" spans="1:15" s="1" customFormat="1" x14ac:dyDescent="0.25">
      <c r="A9" s="138"/>
      <c r="B9" s="44" t="s">
        <v>9</v>
      </c>
      <c r="C9" s="56">
        <f>SUM(TabelaPIS[Janeiro])+SUMIF(TabelaFERIAS[Parcela],"Janeiro",TabelaFERIAS[PIS])</f>
        <v>0</v>
      </c>
      <c r="D9" s="56">
        <f>SUM(TabelaPIS[Fevereiro])+SUMIF(TabelaFERIAS[Parcela],"Fevereiro",TabelaFERIAS[PIS])</f>
        <v>0</v>
      </c>
      <c r="E9" s="56">
        <f>SUM(TabelaPIS[Março])+SUMIF(TabelaFERIAS[Parcela],"Março",TabelaFERIAS[PIS])</f>
        <v>0</v>
      </c>
      <c r="F9" s="56">
        <f>SUM(TabelaPIS[Abril])+SUMIF(TabelaFERIAS[Parcela],"Abril",TabelaFERIAS[PIS])</f>
        <v>0</v>
      </c>
      <c r="G9" s="56">
        <f>SUM(TabelaPIS[Maio])+SUMIF(TabelaFERIAS[Parcela],"Maio",TabelaFERIAS[PIS])</f>
        <v>0</v>
      </c>
      <c r="H9" s="56">
        <f>SUM(TabelaPIS[Junho])+SUMIF(TabelaFERIAS[Parcela],"Junho",TabelaFERIAS[PIS])</f>
        <v>0</v>
      </c>
      <c r="I9" s="56">
        <f>SUM(TabelaPIS[Julho])+SUMIF(TabelaFERIAS[Parcela],"Julho",TabelaFERIAS[PIS])</f>
        <v>0</v>
      </c>
      <c r="J9" s="56">
        <f>SUM(TabelaPIS[Agosto])+SUMIF(TabelaFERIAS[Parcela],"Agosto",TabelaFERIAS[PIS])</f>
        <v>0</v>
      </c>
      <c r="K9" s="56">
        <f>SUM(TabelaPIS[Setembro])+SUMIF(TabelaFERIAS[Parcela],"Setembro",TabelaFERIAS[PIS])</f>
        <v>0</v>
      </c>
      <c r="L9" s="56">
        <f>SUM(TabelaPIS[Outubro])+SUMIF(TabelaFERIAS[Parcela],"Outubro",TabelaFERIAS[PIS])</f>
        <v>0</v>
      </c>
      <c r="M9" s="56">
        <f>SUM(TabelaPIS[Novembro])+SUM(Tabela13Salario[PIS])+SUMIF(TabelaFERIAS[Parcela],"Novembro",TabelaFERIAS[PIS])</f>
        <v>0</v>
      </c>
      <c r="N9" s="56">
        <f>SUM(TabelaPIS[Dezembro])+SUMIF(TabelaFERIAS[Parcela],"Dezembro",TabelaFERIAS[PIS])</f>
        <v>0</v>
      </c>
      <c r="O9" s="63">
        <f t="shared" si="2"/>
        <v>0</v>
      </c>
    </row>
    <row r="10" spans="1:15" s="1" customFormat="1" x14ac:dyDescent="0.25">
      <c r="A10" s="138"/>
      <c r="B10" s="44" t="s">
        <v>8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>
        <f>SUM(Tabela13Salario[Novembro])</f>
        <v>0</v>
      </c>
      <c r="N10" s="56">
        <f>SUM(Tabela13Salario[Dezembro])</f>
        <v>0</v>
      </c>
      <c r="O10" s="63">
        <f>SUM(C10:N10)</f>
        <v>0</v>
      </c>
    </row>
    <row r="11" spans="1:15" s="1" customFormat="1" x14ac:dyDescent="0.25">
      <c r="A11" s="138"/>
      <c r="B11" s="44" t="s">
        <v>30</v>
      </c>
      <c r="C11" s="56">
        <f>SUMIF(TabelaFERIAS[Parcela],"Janeiro",TabelaFERIAS[1/3 Férias])</f>
        <v>0</v>
      </c>
      <c r="D11" s="56">
        <f>SUMIF(TabelaFERIAS[Parcela],"Fevereiro",TabelaFERIAS[1/3 Férias])</f>
        <v>0</v>
      </c>
      <c r="E11" s="56">
        <f>SUMIF(TabelaFERIAS[Parcela],"Março",TabelaFERIAS[1/3 Férias])</f>
        <v>0</v>
      </c>
      <c r="F11" s="56">
        <f>SUMIF(TabelaFERIAS[Parcela],"Abril",TabelaFERIAS[1/3 Férias])</f>
        <v>0</v>
      </c>
      <c r="G11" s="56">
        <f>SUMIF(TabelaFERIAS[Parcela],"Maio",TabelaFERIAS[1/3 Férias])</f>
        <v>0</v>
      </c>
      <c r="H11" s="56">
        <f>SUMIF(TabelaFERIAS[Parcela],"Junho",TabelaFERIAS[1/3 Férias])</f>
        <v>0</v>
      </c>
      <c r="I11" s="56">
        <f>SUMIF(TabelaFERIAS[Parcela],"Julho",TabelaFERIAS[1/3 Férias])</f>
        <v>0</v>
      </c>
      <c r="J11" s="56">
        <f>SUMIF(TabelaFERIAS[Parcela],"Agosto",TabelaFERIAS[1/3 Férias])</f>
        <v>0</v>
      </c>
      <c r="K11" s="56">
        <f>SUMIF(TabelaFERIAS[Parcela],"Setembro",TabelaFERIAS[1/3 Férias])</f>
        <v>0</v>
      </c>
      <c r="L11" s="56">
        <f>SUMIF(TabelaFERIAS[Parcela],"Outubro",TabelaFERIAS[1/3 Férias])</f>
        <v>0</v>
      </c>
      <c r="M11" s="56">
        <f>SUMIF(TabelaFERIAS[Parcela],"Novembro",TabelaFERIAS[1/3 Férias])</f>
        <v>0</v>
      </c>
      <c r="N11" s="56">
        <f>SUMIF(TabelaFERIAS[Parcela],"Dezembro",TabelaFERIAS[1/3 Férias])</f>
        <v>0</v>
      </c>
      <c r="O11" s="63">
        <f t="shared" si="2"/>
        <v>0</v>
      </c>
    </row>
    <row r="12" spans="1:15" s="1" customFormat="1" x14ac:dyDescent="0.25">
      <c r="A12" s="138"/>
      <c r="B12" s="19" t="s">
        <v>42</v>
      </c>
      <c r="C12" s="57">
        <f>SUM(TabelaAvisoPrevio[Janeiro])</f>
        <v>0</v>
      </c>
      <c r="D12" s="57">
        <f>SUM(TabelaAvisoPrevio[Fevereiro])</f>
        <v>0</v>
      </c>
      <c r="E12" s="57">
        <f>SUM(TabelaAvisoPrevio[Março])</f>
        <v>0</v>
      </c>
      <c r="F12" s="57">
        <f>SUM(TabelaAvisoPrevio[Abril])</f>
        <v>0</v>
      </c>
      <c r="G12" s="57">
        <f>SUM(TabelaAvisoPrevio[Maio])</f>
        <v>0</v>
      </c>
      <c r="H12" s="57">
        <f>SUM(TabelaAvisoPrevio[Junho])</f>
        <v>0</v>
      </c>
      <c r="I12" s="57">
        <f>SUM(TabelaAvisoPrevio[Julho])</f>
        <v>0</v>
      </c>
      <c r="J12" s="57">
        <f>SUM(TabelaAvisoPrevio[Agosto])</f>
        <v>0</v>
      </c>
      <c r="K12" s="57">
        <f>SUM(TabelaAvisoPrevio[Setembro])</f>
        <v>0</v>
      </c>
      <c r="L12" s="57">
        <f>SUM(TabelaAvisoPrevio[Outubro])</f>
        <v>0</v>
      </c>
      <c r="M12" s="57">
        <f>SUM(TabelaAvisoPrevio[Novembro])</f>
        <v>0</v>
      </c>
      <c r="N12" s="57">
        <f>SUM(TabelaAvisoPrevio[Dezembro])</f>
        <v>0</v>
      </c>
      <c r="O12" s="64">
        <f>SUM(C12:N12)</f>
        <v>0</v>
      </c>
    </row>
    <row r="13" spans="1:15" s="1" customFormat="1" x14ac:dyDescent="0.25">
      <c r="A13" s="138"/>
      <c r="B13" s="44" t="s">
        <v>31</v>
      </c>
      <c r="C13" s="56">
        <f>SUM(TabelaMultaRescisoriaFGTS[Janeiro])</f>
        <v>0</v>
      </c>
      <c r="D13" s="56">
        <f>SUM(TabelaMultaRescisoriaFGTS[Fevereiro])</f>
        <v>0</v>
      </c>
      <c r="E13" s="56">
        <f>SUM(TabelaMultaRescisoriaFGTS[Março])</f>
        <v>0</v>
      </c>
      <c r="F13" s="56">
        <f>SUM(TabelaMultaRescisoriaFGTS[Abril])</f>
        <v>0</v>
      </c>
      <c r="G13" s="56">
        <f>SUM(TabelaMultaRescisoriaFGTS[Maio])</f>
        <v>0</v>
      </c>
      <c r="H13" s="56">
        <f>SUM(TabelaMultaRescisoriaFGTS[Junho])</f>
        <v>0</v>
      </c>
      <c r="I13" s="56">
        <f>SUM(TabelaMultaRescisoriaFGTS[Julho])</f>
        <v>0</v>
      </c>
      <c r="J13" s="56">
        <f>SUM(TabelaMultaRescisoriaFGTS[Agosto])</f>
        <v>0</v>
      </c>
      <c r="K13" s="56">
        <f>SUM(TabelaMultaRescisoriaFGTS[Setembro])</f>
        <v>0</v>
      </c>
      <c r="L13" s="56">
        <f>SUM(TabelaMultaRescisoriaFGTS[Outubro])</f>
        <v>0</v>
      </c>
      <c r="M13" s="56">
        <f>SUM(TabelaMultaRescisoriaFGTS[Novembro])</f>
        <v>0</v>
      </c>
      <c r="N13" s="56">
        <f>SUM(TabelaMultaRescisoriaFGTS[Dezembro])</f>
        <v>0</v>
      </c>
      <c r="O13" s="63">
        <f t="shared" si="2"/>
        <v>0</v>
      </c>
    </row>
    <row r="14" spans="1:15" s="1" customFormat="1" x14ac:dyDescent="0.25">
      <c r="A14" s="138"/>
      <c r="B14" s="44" t="s">
        <v>32</v>
      </c>
      <c r="C14" s="56">
        <f>SUM(TabelaEstagiarios[Janeiro])</f>
        <v>0</v>
      </c>
      <c r="D14" s="56">
        <f>SUM(TabelaEstagiarios[Fevereiro])</f>
        <v>0</v>
      </c>
      <c r="E14" s="56">
        <f>SUM(TabelaEstagiarios[Março])</f>
        <v>0</v>
      </c>
      <c r="F14" s="56">
        <f>SUM(TabelaEstagiarios[Abril])</f>
        <v>0</v>
      </c>
      <c r="G14" s="56">
        <f>SUM(TabelaEstagiarios[Maio])</f>
        <v>0</v>
      </c>
      <c r="H14" s="56">
        <f>SUM(TabelaEstagiarios[Junho])</f>
        <v>0</v>
      </c>
      <c r="I14" s="56">
        <f>SUM(TabelaEstagiarios[Julho])</f>
        <v>0</v>
      </c>
      <c r="J14" s="56">
        <f>SUM(TabelaEstagiarios[Agosto])</f>
        <v>0</v>
      </c>
      <c r="K14" s="56">
        <f>SUM(TabelaEstagiarios[Setembro])</f>
        <v>0</v>
      </c>
      <c r="L14" s="56">
        <f>SUM(TabelaEstagiarios[Outubro])</f>
        <v>0</v>
      </c>
      <c r="M14" s="56">
        <f>SUM(TabelaEstagiarios[Novembro])</f>
        <v>0</v>
      </c>
      <c r="N14" s="56">
        <f>SUM(TabelaEstagiarios[Dezembro])</f>
        <v>0</v>
      </c>
      <c r="O14" s="64">
        <f>SUM(C14:N14)</f>
        <v>0</v>
      </c>
    </row>
    <row r="15" spans="1:15" s="1" customFormat="1" x14ac:dyDescent="0.25">
      <c r="A15" s="138"/>
      <c r="B15" s="19" t="s">
        <v>35</v>
      </c>
      <c r="C15" s="57">
        <f>SUM(TabelaVA[Janeiro])</f>
        <v>0</v>
      </c>
      <c r="D15" s="57">
        <f>SUM(TabelaVA[Fevereiro])</f>
        <v>0</v>
      </c>
      <c r="E15" s="57">
        <f>SUM(TabelaVA[Março])</f>
        <v>0</v>
      </c>
      <c r="F15" s="57">
        <f>SUM(TabelaVA[Abril])</f>
        <v>0</v>
      </c>
      <c r="G15" s="57">
        <f>SUM(TabelaVA[Maio])</f>
        <v>0</v>
      </c>
      <c r="H15" s="57">
        <f>SUM(TabelaVA[Junho])</f>
        <v>0</v>
      </c>
      <c r="I15" s="57">
        <f>SUM(TabelaVA[Julho])</f>
        <v>0</v>
      </c>
      <c r="J15" s="57">
        <f>SUM(TabelaVA[Agosto])</f>
        <v>0</v>
      </c>
      <c r="K15" s="57">
        <f>SUM(TabelaVA[Setembro])</f>
        <v>0</v>
      </c>
      <c r="L15" s="57">
        <f>SUM(TabelaVA[Outubro])</f>
        <v>0</v>
      </c>
      <c r="M15" s="57">
        <f>SUM(TabelaVA[Novembro])</f>
        <v>0</v>
      </c>
      <c r="N15" s="57">
        <f>SUM(TabelaVA[Dezembro])</f>
        <v>0</v>
      </c>
      <c r="O15" s="64">
        <f>SUM(C15:N15)</f>
        <v>0</v>
      </c>
    </row>
    <row r="16" spans="1:15" s="1" customFormat="1" x14ac:dyDescent="0.25">
      <c r="A16" s="138"/>
      <c r="B16" s="19" t="s">
        <v>36</v>
      </c>
      <c r="C16" s="57">
        <f>SUM(TabelaVR[Janeiro])</f>
        <v>0</v>
      </c>
      <c r="D16" s="57">
        <f>SUM(TabelaVR[Fevereiro])</f>
        <v>0</v>
      </c>
      <c r="E16" s="57">
        <f>SUM(TabelaVR[Março])</f>
        <v>0</v>
      </c>
      <c r="F16" s="57">
        <f>SUM(TabelaVR[Abril])</f>
        <v>0</v>
      </c>
      <c r="G16" s="57">
        <f>SUM(TabelaVR[Maio])</f>
        <v>0</v>
      </c>
      <c r="H16" s="57">
        <f>SUM(TabelaVR[Junho])</f>
        <v>0</v>
      </c>
      <c r="I16" s="57">
        <f>SUM(TabelaVR[Julho])</f>
        <v>0</v>
      </c>
      <c r="J16" s="57">
        <f>SUM(TabelaVR[Agosto])</f>
        <v>0</v>
      </c>
      <c r="K16" s="57">
        <f>SUM(TabelaVR[Setembro])</f>
        <v>0</v>
      </c>
      <c r="L16" s="57">
        <f>SUM(TabelaVR[Outubro])</f>
        <v>0</v>
      </c>
      <c r="M16" s="57">
        <f>SUM(TabelaVR[Novembro])</f>
        <v>0</v>
      </c>
      <c r="N16" s="57">
        <f>SUM(TabelaVR[Dezembro])</f>
        <v>0</v>
      </c>
      <c r="O16" s="64">
        <f>SUM(C16:N16)</f>
        <v>0</v>
      </c>
    </row>
    <row r="17" spans="1:15" s="1" customFormat="1" x14ac:dyDescent="0.25">
      <c r="A17" s="138"/>
      <c r="B17" s="44" t="s">
        <v>37</v>
      </c>
      <c r="C17" s="56">
        <f>SUM(TabelaVT[Janeiro])</f>
        <v>0</v>
      </c>
      <c r="D17" s="56">
        <f>SUM(TabelaVT[Fevereiro])</f>
        <v>0</v>
      </c>
      <c r="E17" s="56">
        <f>SUM(TabelaVT[Março])</f>
        <v>0</v>
      </c>
      <c r="F17" s="56">
        <f>SUM(TabelaVT[Abril])</f>
        <v>0</v>
      </c>
      <c r="G17" s="56">
        <f>SUM(TabelaVT[Maio])</f>
        <v>0</v>
      </c>
      <c r="H17" s="56">
        <f>SUM(TabelaVT[Junho])</f>
        <v>0</v>
      </c>
      <c r="I17" s="56">
        <f>SUM(TabelaVT[Julho])</f>
        <v>0</v>
      </c>
      <c r="J17" s="56">
        <f>SUM(TabelaVT[Agosto])</f>
        <v>0</v>
      </c>
      <c r="K17" s="56">
        <f>SUM(TabelaVT[Setembro])</f>
        <v>0</v>
      </c>
      <c r="L17" s="56">
        <f>SUM(TabelaVT[Outubro])</f>
        <v>0</v>
      </c>
      <c r="M17" s="56">
        <f>SUM(TabelaVT[Novembro])</f>
        <v>0</v>
      </c>
      <c r="N17" s="56">
        <f>SUM(TabelaVT[Dezembro])</f>
        <v>0</v>
      </c>
      <c r="O17" s="63">
        <f t="shared" si="2"/>
        <v>0</v>
      </c>
    </row>
    <row r="18" spans="1:15" s="1" customFormat="1" x14ac:dyDescent="0.25">
      <c r="A18" s="138"/>
      <c r="B18" s="19" t="s">
        <v>40</v>
      </c>
      <c r="C18" s="57">
        <f>SUM(TabelaAssistenciaMedica[Janeiro])</f>
        <v>0</v>
      </c>
      <c r="D18" s="57">
        <f>SUM(TabelaAssistenciaMedica[Fevereiro])</f>
        <v>0</v>
      </c>
      <c r="E18" s="57">
        <f>SUM(TabelaAssistenciaMedica[Março])</f>
        <v>0</v>
      </c>
      <c r="F18" s="57">
        <f>SUM(TabelaAssistenciaMedica[Abril])</f>
        <v>0</v>
      </c>
      <c r="G18" s="57">
        <f>SUM(TabelaAssistenciaMedica[Maio])</f>
        <v>0</v>
      </c>
      <c r="H18" s="57">
        <f>SUM(TabelaAssistenciaMedica[Junho])</f>
        <v>0</v>
      </c>
      <c r="I18" s="57">
        <f>SUM(TabelaAssistenciaMedica[Julho])</f>
        <v>0</v>
      </c>
      <c r="J18" s="57">
        <f>SUM(TabelaAssistenciaMedica[Agosto])</f>
        <v>0</v>
      </c>
      <c r="K18" s="57">
        <f>SUM(TabelaAssistenciaMedica[Setembro])</f>
        <v>0</v>
      </c>
      <c r="L18" s="57">
        <f>SUM(TabelaAssistenciaMedica[Outubro])</f>
        <v>0</v>
      </c>
      <c r="M18" s="57">
        <f>SUM(TabelaAssistenciaMedica[Novembro])</f>
        <v>0</v>
      </c>
      <c r="N18" s="57">
        <f>SUM(TabelaAssistenciaMedica[Dezembro])</f>
        <v>0</v>
      </c>
      <c r="O18" s="64">
        <f>SUM(C18:N18)</f>
        <v>0</v>
      </c>
    </row>
    <row r="19" spans="1:15" s="1" customFormat="1" ht="13.5" thickBot="1" x14ac:dyDescent="0.3">
      <c r="A19" s="139"/>
      <c r="B19" s="50" t="s">
        <v>41</v>
      </c>
      <c r="C19" s="58">
        <f>SUM(TabelaAssistenciaOdontologica[Janeiro])</f>
        <v>0</v>
      </c>
      <c r="D19" s="58">
        <f>SUM(TabelaAssistenciaOdontologica[Fevereiro])</f>
        <v>0</v>
      </c>
      <c r="E19" s="58">
        <f>SUM(TabelaAssistenciaOdontologica[Março])</f>
        <v>0</v>
      </c>
      <c r="F19" s="58">
        <f>SUM(TabelaAssistenciaOdontologica[Abril])</f>
        <v>0</v>
      </c>
      <c r="G19" s="58">
        <f>SUM(TabelaAssistenciaOdontologica[Maio])</f>
        <v>0</v>
      </c>
      <c r="H19" s="58">
        <f>SUM(TabelaAssistenciaOdontologica[Junho])</f>
        <v>0</v>
      </c>
      <c r="I19" s="58">
        <f>SUM(TabelaAssistenciaOdontologica[Julho])</f>
        <v>0</v>
      </c>
      <c r="J19" s="58">
        <f>SUM(TabelaAssistenciaOdontologica[Agosto])</f>
        <v>0</v>
      </c>
      <c r="K19" s="58">
        <f>SUM(TabelaAssistenciaOdontologica[Setembro])</f>
        <v>0</v>
      </c>
      <c r="L19" s="58">
        <f>SUM(TabelaAssistenciaOdontologica[Outubro])</f>
        <v>0</v>
      </c>
      <c r="M19" s="58">
        <f>SUM(TabelaAssistenciaOdontologica[Novembro])</f>
        <v>0</v>
      </c>
      <c r="N19" s="58">
        <f>SUM(TabelaAssistenciaOdontologica[Dezembro])</f>
        <v>0</v>
      </c>
      <c r="O19" s="65">
        <f>SUM(C19:N19)</f>
        <v>0</v>
      </c>
    </row>
    <row r="20" spans="1:15" s="1" customFormat="1" ht="13.5" thickBot="1" x14ac:dyDescent="0.3">
      <c r="A20" s="59" t="s">
        <v>34</v>
      </c>
      <c r="B20" s="66" t="s">
        <v>26</v>
      </c>
      <c r="C20" s="60">
        <f>SUM(TabelaGenerosAlimenticios[Janeiro])</f>
        <v>0</v>
      </c>
      <c r="D20" s="60">
        <f>SUM(TabelaGenerosAlimenticios[Fevereiro])</f>
        <v>0</v>
      </c>
      <c r="E20" s="60">
        <f>SUM(TabelaGenerosAlimenticios[Março])</f>
        <v>0</v>
      </c>
      <c r="F20" s="60">
        <f>SUM(TabelaGenerosAlimenticios[Abril])</f>
        <v>0</v>
      </c>
      <c r="G20" s="60">
        <f>SUM(TabelaGenerosAlimenticios[Maio])</f>
        <v>0</v>
      </c>
      <c r="H20" s="60">
        <f>SUM(TabelaGenerosAlimenticios[Junho])</f>
        <v>0</v>
      </c>
      <c r="I20" s="60">
        <f>SUM(TabelaGenerosAlimenticios[Julho])</f>
        <v>0</v>
      </c>
      <c r="J20" s="60">
        <f>SUM(TabelaGenerosAlimenticios[Agosto])</f>
        <v>0</v>
      </c>
      <c r="K20" s="60">
        <f>SUM(TabelaGenerosAlimenticios[Setembro])</f>
        <v>0</v>
      </c>
      <c r="L20" s="60">
        <f>SUM(TabelaGenerosAlimenticios[Outubro])</f>
        <v>0</v>
      </c>
      <c r="M20" s="60">
        <f>SUM(TabelaGenerosAlimenticios[Novembro])</f>
        <v>0</v>
      </c>
      <c r="N20" s="60">
        <f>SUM(TabelaGenerosAlimenticios[Dezembro])</f>
        <v>0</v>
      </c>
      <c r="O20" s="61">
        <f>SUM(C20:N20)</f>
        <v>0</v>
      </c>
    </row>
    <row r="21" spans="1:15" s="1" customFormat="1" ht="26.25" thickBot="1" x14ac:dyDescent="0.3">
      <c r="A21" s="140" t="s">
        <v>44</v>
      </c>
      <c r="B21" s="47" t="s">
        <v>33</v>
      </c>
      <c r="C21" s="62">
        <f>SUMIF(TabelaGastosAdministrativos[Classificação],"Material de Expediente",TabelaGastosAdministrativos[Janeiro])</f>
        <v>0</v>
      </c>
      <c r="D21" s="62">
        <f>SUMIF(TabelaGastosAdministrativos[Classificação],"Material de Expediente",TabelaGastosAdministrativos[Fevereiro])</f>
        <v>0</v>
      </c>
      <c r="E21" s="62">
        <f>SUMIF(TabelaGastosAdministrativos[Classificação],"Material de Expediente",TabelaGastosAdministrativos[Março])</f>
        <v>0</v>
      </c>
      <c r="F21" s="62">
        <f>SUMIF(TabelaGastosAdministrativos[Classificação],"Material de Expediente",TabelaGastosAdministrativos[Abril])</f>
        <v>0</v>
      </c>
      <c r="G21" s="62">
        <f>SUMIF(TabelaGastosAdministrativos[Classificação],"Material de Expediente",TabelaGastosAdministrativos[Maio])</f>
        <v>0</v>
      </c>
      <c r="H21" s="62">
        <f>SUMIF(TabelaGastosAdministrativos[Classificação],"Material de Expediente",TabelaGastosAdministrativos[Junho])</f>
        <v>0</v>
      </c>
      <c r="I21" s="62">
        <f>SUMIF(TabelaGastosAdministrativos[Classificação],"Material de Expediente",TabelaGastosAdministrativos[Julho])</f>
        <v>0</v>
      </c>
      <c r="J21" s="62">
        <f>SUMIF(TabelaGastosAdministrativos[Classificação],"Material de Expediente",TabelaGastosAdministrativos[Agosto])</f>
        <v>0</v>
      </c>
      <c r="K21" s="62">
        <f>SUMIF(TabelaGastosAdministrativos[Classificação],"Material de Expediente",TabelaGastosAdministrativos[Setembro])</f>
        <v>0</v>
      </c>
      <c r="L21" s="62">
        <f>SUMIF(TabelaGastosAdministrativos[Classificação],"Material de Expediente",TabelaGastosAdministrativos[Outubro])</f>
        <v>0</v>
      </c>
      <c r="M21" s="62">
        <f>SUMIF(TabelaGastosAdministrativos[Classificação],"Material de Expediente",TabelaGastosAdministrativos[Novembro])</f>
        <v>0</v>
      </c>
      <c r="N21" s="62">
        <f>SUMIF(TabelaGastosAdministrativos[Classificação],"Material de Expediente",TabelaGastosAdministrativos[Dezembro])</f>
        <v>0</v>
      </c>
      <c r="O21" s="67">
        <f t="shared" si="2"/>
        <v>0</v>
      </c>
    </row>
    <row r="22" spans="1:15" s="1" customFormat="1" ht="25.5" x14ac:dyDescent="0.25">
      <c r="A22" s="138" t="s">
        <v>52</v>
      </c>
      <c r="B22" s="19" t="s">
        <v>50</v>
      </c>
      <c r="C22" s="20">
        <f>SUMIF(TabelaServicosTerceiros[Classificação],"Outros Serviços de Terceiros PF - Justificar",TabelaServicosTerceiros[Janeiro])</f>
        <v>0</v>
      </c>
      <c r="D22" s="20">
        <f>SUMIF(TabelaServicosTerceiros[Classificação],"Outros Serviços de Terceiros PF - Justificar",TabelaServicosTerceiros[Fevereiro])</f>
        <v>0</v>
      </c>
      <c r="E22" s="20">
        <f>SUMIF(TabelaServicosTerceiros[Classificação],"Outros Serviços de Terceiros PF - Justificar",TabelaServicosTerceiros[Março])</f>
        <v>0</v>
      </c>
      <c r="F22" s="20">
        <f>SUMIF(TabelaServicosTerceiros[Classificação],"Outros Serviços de Terceiros PF - Justificar",TabelaServicosTerceiros[Abril])</f>
        <v>0</v>
      </c>
      <c r="G22" s="20">
        <f>SUMIF(TabelaServicosTerceiros[Classificação],"Outros Serviços de Terceiros PF - Justificar",TabelaServicosTerceiros[Maio])</f>
        <v>0</v>
      </c>
      <c r="H22" s="20">
        <f>SUMIF(TabelaServicosTerceiros[Classificação],"Outros Serviços de Terceiros PF - Justificar",TabelaServicosTerceiros[Junho])</f>
        <v>0</v>
      </c>
      <c r="I22" s="20">
        <f>SUMIF(TabelaServicosTerceiros[Classificação],"Outros Serviços de Terceiros PF - Justificar",TabelaServicosTerceiros[Julho])</f>
        <v>0</v>
      </c>
      <c r="J22" s="20">
        <f>SUMIF(TabelaServicosTerceiros[Classificação],"Outros Serviços de Terceiros PF - Justificar",TabelaServicosTerceiros[Agosto])</f>
        <v>0</v>
      </c>
      <c r="K22" s="20">
        <f>SUMIF(TabelaServicosTerceiros[Classificação],"Outros Serviços de Terceiros PF - Justificar",TabelaServicosTerceiros[Setembro])</f>
        <v>0</v>
      </c>
      <c r="L22" s="20">
        <f>SUMIF(TabelaServicosTerceiros[Classificação],"Outros Serviços de Terceiros PF - Justificar",TabelaServicosTerceiros[Outubro])</f>
        <v>0</v>
      </c>
      <c r="M22" s="20">
        <f>SUMIF(TabelaServicosTerceiros[Classificação],"Outros Serviços de Terceiros PF - Justificar",TabelaServicosTerceiros[Novembro])</f>
        <v>0</v>
      </c>
      <c r="N22" s="20">
        <f>SUMIF(TabelaServicosTerceiros[Classificação],"Outros Serviços de Terceiros PF - Justificar",TabelaServicosTerceiros[Dezembro])</f>
        <v>0</v>
      </c>
      <c r="O22" s="49">
        <f>SUM(C22:N22)</f>
        <v>0</v>
      </c>
    </row>
    <row r="23" spans="1:15" s="1" customFormat="1" x14ac:dyDescent="0.25">
      <c r="A23" s="138"/>
      <c r="B23" s="19" t="s">
        <v>51</v>
      </c>
      <c r="C23" s="20">
        <f>SUMIF(TabelaServicosTerceiros[Classificação],"Outros Serviços de Terceiros PJ - Justificar",TabelaServicosTerceiros[Janeiro])</f>
        <v>0</v>
      </c>
      <c r="D23" s="20">
        <f>SUMIF(TabelaServicosTerceiros[Classificação],"Outros Serviços de Terceiros PJ - Justificar",TabelaServicosTerceiros[Fevereiro])</f>
        <v>0</v>
      </c>
      <c r="E23" s="20">
        <f>SUMIF(TabelaServicosTerceiros[Classificação],"Outros Serviços de Terceiros PJ - Justificar",TabelaServicosTerceiros[Março])</f>
        <v>0</v>
      </c>
      <c r="F23" s="20">
        <f>SUMIF(TabelaServicosTerceiros[Classificação],"Outros Serviços de Terceiros PJ - Justificar",TabelaServicosTerceiros[Abril])</f>
        <v>0</v>
      </c>
      <c r="G23" s="20">
        <f>SUMIF(TabelaServicosTerceiros[Classificação],"Outros Serviços de Terceiros PJ - Justificar",TabelaServicosTerceiros[Maio])</f>
        <v>0</v>
      </c>
      <c r="H23" s="20">
        <f>SUMIF(TabelaServicosTerceiros[Classificação],"Outros Serviços de Terceiros PJ - Justificar",TabelaServicosTerceiros[Junho])</f>
        <v>0</v>
      </c>
      <c r="I23" s="20">
        <f>SUMIF(TabelaServicosTerceiros[Classificação],"Outros Serviços de Terceiros PJ - Justificar",TabelaServicosTerceiros[Julho])</f>
        <v>0</v>
      </c>
      <c r="J23" s="20">
        <f>SUMIF(TabelaServicosTerceiros[Classificação],"Outros Serviços de Terceiros PJ - Justificar",TabelaServicosTerceiros[Agosto])</f>
        <v>0</v>
      </c>
      <c r="K23" s="20">
        <f>SUMIF(TabelaServicosTerceiros[Classificação],"Outros Serviços de Terceiros PJ - Justificar",TabelaServicosTerceiros[Setembro])</f>
        <v>0</v>
      </c>
      <c r="L23" s="20">
        <f>SUMIF(TabelaServicosTerceiros[Classificação],"Outros Serviços de Terceiros PJ - Justificar",TabelaServicosTerceiros[Outubro])</f>
        <v>0</v>
      </c>
      <c r="M23" s="20">
        <f>SUMIF(TabelaServicosTerceiros[Classificação],"Outros Serviços de Terceiros PJ - Justificar",TabelaServicosTerceiros[Novembro])</f>
        <v>0</v>
      </c>
      <c r="N23" s="20">
        <f>SUMIF(TabelaServicosTerceiros[Classificação],"Outros Serviços de Terceiros PJ - Justificar",TabelaServicosTerceiros[Dezembro])</f>
        <v>0</v>
      </c>
      <c r="O23" s="49">
        <f>SUM(C23:N23)</f>
        <v>0</v>
      </c>
    </row>
    <row r="24" spans="1:15" s="1" customFormat="1" x14ac:dyDescent="0.25">
      <c r="A24" s="138" t="s">
        <v>48</v>
      </c>
      <c r="B24" s="44" t="s">
        <v>45</v>
      </c>
      <c r="C24" s="12">
        <f>SUMIF(TabelaMateriais[Classificação],"Material Esportivo",TabelaMateriais[Janeiro])</f>
        <v>0</v>
      </c>
      <c r="D24" s="12">
        <f>SUMIF(TabelaMateriais[Classificação],"Material Esportivo",TabelaMateriais[Fevereiro])</f>
        <v>0</v>
      </c>
      <c r="E24" s="12">
        <f>SUMIF(TabelaMateriais[Classificação],"Material Esportivo",TabelaMateriais[Março])</f>
        <v>0</v>
      </c>
      <c r="F24" s="12">
        <f>SUMIF(TabelaMateriais[Classificação],"Material Esportivo",TabelaMateriais[Abril])</f>
        <v>0</v>
      </c>
      <c r="G24" s="12">
        <f>SUMIF(TabelaMateriais[Classificação],"Material Esportivo",TabelaMateriais[Maio])</f>
        <v>0</v>
      </c>
      <c r="H24" s="12">
        <f>SUMIF(TabelaMateriais[Classificação],"Material Esportivo",TabelaMateriais[Junho])</f>
        <v>0</v>
      </c>
      <c r="I24" s="12">
        <f>SUMIF(TabelaMateriais[Classificação],"Material Esportivo",TabelaMateriais[Julho])</f>
        <v>0</v>
      </c>
      <c r="J24" s="12">
        <f>SUMIF(TabelaMateriais[Classificação],"Material Esportivo",TabelaMateriais[Agosto])</f>
        <v>0</v>
      </c>
      <c r="K24" s="12">
        <f>SUMIF(TabelaMateriais[Classificação],"Material Esportivo",TabelaMateriais[Setembro])</f>
        <v>0</v>
      </c>
      <c r="L24" s="12">
        <f>SUMIF(TabelaMateriais[Classificação],"Material Esportivo",TabelaMateriais[Outubro])</f>
        <v>0</v>
      </c>
      <c r="M24" s="12">
        <f>SUMIF(TabelaMateriais[Classificação],"Material Esportivo",TabelaMateriais[Novembro])</f>
        <v>0</v>
      </c>
      <c r="N24" s="12">
        <f>SUMIF(TabelaMateriais[Classificação],"Material Esportivo",TabelaMateriais[Dezembro])</f>
        <v>0</v>
      </c>
      <c r="O24" s="46">
        <f t="shared" ref="O24:O27" si="3">SUM(C24:N24)</f>
        <v>0</v>
      </c>
    </row>
    <row r="25" spans="1:15" s="1" customFormat="1" x14ac:dyDescent="0.25">
      <c r="A25" s="138"/>
      <c r="B25" s="44" t="s">
        <v>46</v>
      </c>
      <c r="C25" s="12">
        <f>SUMIF(TabelaMateriais[Classificação],"Uniformes - Atendidos",TabelaMateriais[Janeiro])</f>
        <v>0</v>
      </c>
      <c r="D25" s="12">
        <f>SUMIF(TabelaMateriais[Classificação],"Uniformes - Atendidos",TabelaMateriais[Fevereiro])</f>
        <v>0</v>
      </c>
      <c r="E25" s="12">
        <f>SUMIF(TabelaMateriais[Classificação],"Uniformes - Atendidos",TabelaMateriais[Março])</f>
        <v>0</v>
      </c>
      <c r="F25" s="12">
        <f>SUMIF(TabelaMateriais[Classificação],"Uniformes - Atendidos",TabelaMateriais[Abril])</f>
        <v>0</v>
      </c>
      <c r="G25" s="12">
        <f>SUMIF(TabelaMateriais[Classificação],"Uniformes - Atendidos",TabelaMateriais[Maio])</f>
        <v>0</v>
      </c>
      <c r="H25" s="12">
        <f>SUMIF(TabelaMateriais[Classificação],"Uniformes - Atendidos",TabelaMateriais[Junho])</f>
        <v>0</v>
      </c>
      <c r="I25" s="12">
        <f>SUMIF(TabelaMateriais[Classificação],"Uniformes - Atendidos",TabelaMateriais[Julho])</f>
        <v>0</v>
      </c>
      <c r="J25" s="12">
        <f>SUMIF(TabelaMateriais[Classificação],"Uniformes - Atendidos",TabelaMateriais[Agosto])</f>
        <v>0</v>
      </c>
      <c r="K25" s="12">
        <f>SUMIF(TabelaMateriais[Classificação],"Uniformes - Atendidos",TabelaMateriais[Setembro])</f>
        <v>0</v>
      </c>
      <c r="L25" s="12">
        <f>SUMIF(TabelaMateriais[Classificação],"Uniformes - Atendidos",TabelaMateriais[Outubro])</f>
        <v>0</v>
      </c>
      <c r="M25" s="12">
        <f>SUMIF(TabelaMateriais[Classificação],"Uniformes - Atendidos",TabelaMateriais[Novembro])</f>
        <v>0</v>
      </c>
      <c r="N25" s="12">
        <f>SUMIF(TabelaMateriais[Classificação],"Uniformes - Atendidos",TabelaMateriais[Dezembro])</f>
        <v>0</v>
      </c>
      <c r="O25" s="46">
        <f t="shared" si="3"/>
        <v>0</v>
      </c>
    </row>
    <row r="26" spans="1:15" s="1" customFormat="1" ht="13.5" thickBot="1" x14ac:dyDescent="0.3">
      <c r="A26" s="139"/>
      <c r="B26" s="47" t="s">
        <v>47</v>
      </c>
      <c r="C26" s="43">
        <f>SUMIF(TabelaMateriais[Classificação],"Outros Materiais (Especificar)",TabelaMateriais[Janeiro])</f>
        <v>0</v>
      </c>
      <c r="D26" s="43">
        <f>SUMIF(TabelaMateriais[Classificação],"Outros Materiais (Especificar)",TabelaMateriais[Fevereiro])</f>
        <v>0</v>
      </c>
      <c r="E26" s="43">
        <f>SUMIF(TabelaMateriais[Classificação],"Outros Materiais (Especificar)",TabelaMateriais[Março])</f>
        <v>0</v>
      </c>
      <c r="F26" s="43">
        <f>SUMIF(TabelaMateriais[Classificação],"Outros Materiais (Especificar)",TabelaMateriais[Abril])</f>
        <v>0</v>
      </c>
      <c r="G26" s="43">
        <f>SUMIF(TabelaMateriais[Classificação],"Outros Materiais (Especificar)",TabelaMateriais[Maio])</f>
        <v>0</v>
      </c>
      <c r="H26" s="43">
        <f>SUMIF(TabelaMateriais[Classificação],"Outros Materiais (Especificar)",TabelaMateriais[Junho])</f>
        <v>0</v>
      </c>
      <c r="I26" s="43">
        <f>SUMIF(TabelaMateriais[Classificação],"Outros Materiais (Especificar)",TabelaMateriais[Julho])</f>
        <v>0</v>
      </c>
      <c r="J26" s="43">
        <f>SUMIF(TabelaMateriais[Classificação],"Outros Materiais (Especificar)",TabelaMateriais[Agosto])</f>
        <v>0</v>
      </c>
      <c r="K26" s="43">
        <f>SUMIF(TabelaMateriais[Classificação],"Outros Materiais (Especificar)",TabelaMateriais[Setembro])</f>
        <v>0</v>
      </c>
      <c r="L26" s="43">
        <f>SUMIF(TabelaMateriais[Classificação],"Outros Materiais (Especificar)",TabelaMateriais[Outubro])</f>
        <v>0</v>
      </c>
      <c r="M26" s="43">
        <f>SUMIF(TabelaMateriais[Classificação],"Outros Materiais (Especificar)",TabelaMateriais[Novembro])</f>
        <v>0</v>
      </c>
      <c r="N26" s="43">
        <f>SUMIF(TabelaMateriais[Classificação],"Outros Materiais (Especificar)",TabelaMateriais[Dezembro])</f>
        <v>0</v>
      </c>
      <c r="O26" s="48">
        <f t="shared" si="3"/>
        <v>0</v>
      </c>
    </row>
    <row r="27" spans="1:15" s="1" customFormat="1" ht="13.5" thickBot="1" x14ac:dyDescent="0.3">
      <c r="A27" s="51" t="s">
        <v>53</v>
      </c>
      <c r="B27" s="68" t="s">
        <v>53</v>
      </c>
      <c r="C27" s="52">
        <f>SUM(TabelaDiversos[Janeiro])</f>
        <v>0</v>
      </c>
      <c r="D27" s="52">
        <f>SUM(TabelaDiversos[Fevereiro])</f>
        <v>0</v>
      </c>
      <c r="E27" s="52">
        <f>SUM(TabelaDiversos[Março])</f>
        <v>0</v>
      </c>
      <c r="F27" s="52">
        <f>SUM(TabelaDiversos[Abril])</f>
        <v>0</v>
      </c>
      <c r="G27" s="52">
        <f>SUM(TabelaDiversos[Maio])</f>
        <v>0</v>
      </c>
      <c r="H27" s="52">
        <f>SUM(TabelaDiversos[Junho])</f>
        <v>0</v>
      </c>
      <c r="I27" s="52">
        <f>SUM(TabelaDiversos[Julho])</f>
        <v>0</v>
      </c>
      <c r="J27" s="52">
        <f>SUM(TabelaDiversos[Agosto])</f>
        <v>0</v>
      </c>
      <c r="K27" s="52">
        <f>SUM(TabelaDiversos[Setembro])</f>
        <v>0</v>
      </c>
      <c r="L27" s="52">
        <f>SUM(TabelaDiversos[Outubro])</f>
        <v>0</v>
      </c>
      <c r="M27" s="52">
        <f>SUM(TabelaDiversos[Novembro])</f>
        <v>0</v>
      </c>
      <c r="N27" s="52">
        <f>SUM(TabelaDiversos[Dezembro])</f>
        <v>0</v>
      </c>
      <c r="O27" s="53">
        <f t="shared" si="3"/>
        <v>0</v>
      </c>
    </row>
    <row r="28" spans="1:15" ht="18.75" thickBot="1" x14ac:dyDescent="0.3">
      <c r="A28" s="132"/>
      <c r="B28" s="133"/>
      <c r="C28" s="69">
        <f>SUM(TabelaTotal[Janeiro])</f>
        <v>0</v>
      </c>
      <c r="D28" s="69">
        <f>SUM(TabelaTotal[Fevereiro])</f>
        <v>0</v>
      </c>
      <c r="E28" s="69">
        <f>SUM(TabelaTotal[Março])</f>
        <v>0</v>
      </c>
      <c r="F28" s="69">
        <f>SUM(TabelaTotal[Abril])</f>
        <v>0</v>
      </c>
      <c r="G28" s="69">
        <f>SUM(TabelaTotal[Maio])</f>
        <v>0</v>
      </c>
      <c r="H28" s="69">
        <f>SUM(TabelaTotal[Junho])</f>
        <v>0</v>
      </c>
      <c r="I28" s="69">
        <f>SUM(TabelaTotal[Julho])</f>
        <v>0</v>
      </c>
      <c r="J28" s="69">
        <f>SUM(TabelaTotal[Agosto])</f>
        <v>0</v>
      </c>
      <c r="K28" s="69">
        <f>SUM(TabelaTotal[Setembro])</f>
        <v>0</v>
      </c>
      <c r="L28" s="69">
        <f>SUM(TabelaTotal[Outubro])</f>
        <v>0</v>
      </c>
      <c r="M28" s="69">
        <f>SUM(TabelaTotal[Novembro])</f>
        <v>0</v>
      </c>
      <c r="N28" s="69">
        <f>SUM(TabelaTotal[Dezembro])</f>
        <v>0</v>
      </c>
      <c r="O28" s="70">
        <f>SUM(O4:O27)</f>
        <v>0</v>
      </c>
    </row>
  </sheetData>
  <sheetProtection algorithmName="SHA-512" hashValue="6B+jofbQCUAxKQJiSQLqeq0y0gs9iynK1ZaA1MfJ4NkgbJU8XhiifPhfMHGwrlBRsxD6yqoarfob2q/exg7Yog==" saltValue="2eItZQRLUN3Delr4N3cipw==" spinCount="100000" sheet="1" objects="1" scenarios="1" selectLockedCells="1" selectUnlockedCells="1"/>
  <mergeCells count="6">
    <mergeCell ref="A1:O1"/>
    <mergeCell ref="A28:B28"/>
    <mergeCell ref="A2:O2"/>
    <mergeCell ref="A4:A19"/>
    <mergeCell ref="A24:A26"/>
    <mergeCell ref="A22:A23"/>
  </mergeCells>
  <pageMargins left="0.23622047244094491" right="0.23622047244094491" top="0" bottom="0" header="0.31496062992125984" footer="0.31496062992125984"/>
  <pageSetup paperSize="9" scale="55" fitToHeight="0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13E9-0C7C-4487-AD95-823AFF0A6F60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CONCATENATE(UPPER("02 - Vale Alimentação")," - ",UPPER('00 - Entidade'!A14:E14))</f>
        <v>02 - VALE ALIMENTAÇÃO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14" t="s">
        <v>7</v>
      </c>
      <c r="B33" s="115"/>
      <c r="C33" s="115"/>
      <c r="D33" s="40">
        <f>SUM(TabelaVA[Janeiro])</f>
        <v>0</v>
      </c>
      <c r="E33" s="40">
        <f>SUM(TabelaVA[Fevereiro])</f>
        <v>0</v>
      </c>
      <c r="F33" s="40">
        <f>SUM(TabelaVA[Março])</f>
        <v>0</v>
      </c>
      <c r="G33" s="40">
        <f>SUM(TabelaVA[Abril])</f>
        <v>0</v>
      </c>
      <c r="H33" s="40">
        <f>SUM(TabelaVA[Maio])</f>
        <v>0</v>
      </c>
      <c r="I33" s="40">
        <f>SUM(TabelaVA[Junho])</f>
        <v>0</v>
      </c>
      <c r="J33" s="40">
        <f>SUM(TabelaVA[Julho])</f>
        <v>0</v>
      </c>
      <c r="K33" s="40">
        <f>SUM(TabelaVA[Agosto])</f>
        <v>0</v>
      </c>
      <c r="L33" s="40">
        <f>SUM(TabelaVA[Setembro])</f>
        <v>0</v>
      </c>
      <c r="M33" s="40">
        <f>SUM(TabelaVA[Outubro])</f>
        <v>0</v>
      </c>
      <c r="N33" s="40">
        <f>SUM(TabelaVA[Novembro])</f>
        <v>0</v>
      </c>
      <c r="O33" s="40">
        <f>SUM(TabelaVA[Dezembro])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951B-E85B-430B-B57B-82E847577866}">
  <sheetPr>
    <pageSetUpPr fitToPage="1"/>
  </sheetPr>
  <dimension ref="A1:P33"/>
  <sheetViews>
    <sheetView zoomScale="80" zoomScaleNormal="80" workbookViewId="0">
      <selection sqref="A1:P1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CONCATENATE(UPPER("03 - Vale Refeição")," - ",UPPER('00 - Entidade'!A14:E14))</f>
        <v>03 - VALE REFEIÇÃO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14" t="s">
        <v>7</v>
      </c>
      <c r="B33" s="115"/>
      <c r="C33" s="115"/>
      <c r="D33" s="40">
        <f>SUM(TabelaVR[Janeiro])</f>
        <v>0</v>
      </c>
      <c r="E33" s="40">
        <f>SUM(TabelaVR[Fevereiro])</f>
        <v>0</v>
      </c>
      <c r="F33" s="40">
        <f>SUM(TabelaVR[Março])</f>
        <v>0</v>
      </c>
      <c r="G33" s="40">
        <f>SUM(TabelaVR[Abril])</f>
        <v>0</v>
      </c>
      <c r="H33" s="40">
        <f>SUM(TabelaVR[Maio])</f>
        <v>0</v>
      </c>
      <c r="I33" s="40">
        <f>SUM(TabelaVR[Junho])</f>
        <v>0</v>
      </c>
      <c r="J33" s="40">
        <f>SUM(TabelaVR[Julho])</f>
        <v>0</v>
      </c>
      <c r="K33" s="40">
        <f>SUM(TabelaVR[Agosto])</f>
        <v>0</v>
      </c>
      <c r="L33" s="40">
        <f>SUM(TabelaVR[Setembro])</f>
        <v>0</v>
      </c>
      <c r="M33" s="40">
        <f>SUM(TabelaVR[Outubro])</f>
        <v>0</v>
      </c>
      <c r="N33" s="40">
        <f>SUM(TabelaVR[Novembro])</f>
        <v>0</v>
      </c>
      <c r="O33" s="40">
        <f>SUM(TabelaVR[Dezembro])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24FE-F66C-4750-9269-CE141B2D6E2C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CONCATENATE(UPPER("04 - Vale Transporte")," - ",UPPER('00 - Entidade'!A14:E14))</f>
        <v>04 - VALE TRANSPORTE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14" t="s">
        <v>7</v>
      </c>
      <c r="B33" s="115"/>
      <c r="C33" s="115"/>
      <c r="D33" s="40">
        <f>SUM(TabelaVT[Janeiro])</f>
        <v>0</v>
      </c>
      <c r="E33" s="40">
        <f>SUM(TabelaVT[Fevereiro])</f>
        <v>0</v>
      </c>
      <c r="F33" s="40">
        <f>SUM(TabelaVT[Março])</f>
        <v>0</v>
      </c>
      <c r="G33" s="40">
        <f>SUM(TabelaVT[Abril])</f>
        <v>0</v>
      </c>
      <c r="H33" s="40">
        <f>SUM(TabelaVT[Maio])</f>
        <v>0</v>
      </c>
      <c r="I33" s="40">
        <f>SUM(TabelaVT[Junho])</f>
        <v>0</v>
      </c>
      <c r="J33" s="40">
        <f>SUM(TabelaVT[Julho])</f>
        <v>0</v>
      </c>
      <c r="K33" s="40">
        <f>SUM(TabelaVT[Agosto])</f>
        <v>0</v>
      </c>
      <c r="L33" s="40">
        <f>SUM(TabelaVT[Setembro])</f>
        <v>0</v>
      </c>
      <c r="M33" s="40">
        <f>SUM(TabelaVT[Outubro])</f>
        <v>0</v>
      </c>
      <c r="N33" s="40">
        <f>SUM(TabelaVT[Novembro])</f>
        <v>0</v>
      </c>
      <c r="O33" s="40">
        <f>SUM(TabelaVT[Dezembro])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762A-3D40-45A3-9D33-79719E0F7820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CONCATENATE(UPPER("05 - Assistência Médica")," - ",UPPER('00 - Entidade'!A14:E14))</f>
        <v>05 - ASSISTÊNCIA MÉDICA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SUM(TabelaAssistenciaMedica[Janeiro])</f>
        <v>0</v>
      </c>
      <c r="E33" s="40">
        <f>SUM(TabelaAssistenciaMedica[Fevereiro])</f>
        <v>0</v>
      </c>
      <c r="F33" s="40">
        <f>SUM(TabelaAssistenciaMedica[Março])</f>
        <v>0</v>
      </c>
      <c r="G33" s="40">
        <f>SUM(TabelaAssistenciaMedica[Abril])</f>
        <v>0</v>
      </c>
      <c r="H33" s="40">
        <f>SUM(TabelaAssistenciaMedica[Maio])</f>
        <v>0</v>
      </c>
      <c r="I33" s="40">
        <f>SUM(TabelaAssistenciaMedica[Junho])</f>
        <v>0</v>
      </c>
      <c r="J33" s="40">
        <f>SUM(TabelaAssistenciaMedica[Julho])</f>
        <v>0</v>
      </c>
      <c r="K33" s="40">
        <f>SUM(TabelaAssistenciaMedica[Agosto])</f>
        <v>0</v>
      </c>
      <c r="L33" s="40">
        <f>SUM(TabelaAssistenciaMedica[Setembro])</f>
        <v>0</v>
      </c>
      <c r="M33" s="40">
        <f>SUM(TabelaAssistenciaMedica[Outubro])</f>
        <v>0</v>
      </c>
      <c r="N33" s="40">
        <f>SUM(TabelaAssistenciaMedica[Novembro])</f>
        <v>0</v>
      </c>
      <c r="O33" s="40">
        <f>SUM(TabelaAssistenciaMedica[Dezembro])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CED6-ABFA-43B6-A34B-F66BC8BD863E}">
  <sheetPr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CONCATENATE(UPPER("06 - Assistência Odontológica")," - ",UPPER('00 - Entidade'!A14:E14))</f>
        <v>06 - ASSISTÊNCIA ODONTOLÓGICA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SUM(TabelaAssistenciaOdontologica[Janeiro])</f>
        <v>0</v>
      </c>
      <c r="E33" s="40">
        <f>SUM(TabelaAssistenciaOdontologica[Fevereiro])</f>
        <v>0</v>
      </c>
      <c r="F33" s="40">
        <f>SUM(TabelaAssistenciaOdontologica[Março])</f>
        <v>0</v>
      </c>
      <c r="G33" s="40">
        <f>SUM(TabelaAssistenciaOdontologica[Abril])</f>
        <v>0</v>
      </c>
      <c r="H33" s="40">
        <f>SUM(TabelaAssistenciaOdontologica[Maio])</f>
        <v>0</v>
      </c>
      <c r="I33" s="40">
        <f>SUM(TabelaAssistenciaOdontologica[Junho])</f>
        <v>0</v>
      </c>
      <c r="J33" s="40">
        <f>SUM(TabelaAssistenciaOdontologica[Julho])</f>
        <v>0</v>
      </c>
      <c r="K33" s="40">
        <f>SUM(TabelaAssistenciaOdontologica[Agosto])</f>
        <v>0</v>
      </c>
      <c r="L33" s="40">
        <f>SUM(TabelaAssistenciaOdontologica[Setembro])</f>
        <v>0</v>
      </c>
      <c r="M33" s="40">
        <f>SUM(TabelaAssistenciaOdontologica[Outubro])</f>
        <v>0</v>
      </c>
      <c r="N33" s="40">
        <f>SUM(TabelaAssistenciaOdontologica[Novembro])</f>
        <v>0</v>
      </c>
      <c r="O33" s="40">
        <f>SUM(TabelaAssistenciaOdontologica[Dezembro])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CONCATENATE(UPPER("07 - IRPF")," - ",UPPER('00 - Entidade'!A14:E14))</f>
        <v>07 - IRPF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32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8">
        <f>TabelaSalarioBase[[#This Row],[Nome]]</f>
        <v>0</v>
      </c>
      <c r="C32" s="9">
        <f>TabelaSalarioBase[[#This Row],[Cargo]]</f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>
        <f t="shared" si="0"/>
        <v>0</v>
      </c>
    </row>
    <row r="33" spans="1:16" ht="18" x14ac:dyDescent="0.25">
      <c r="A33" s="114" t="s">
        <v>7</v>
      </c>
      <c r="B33" s="115"/>
      <c r="C33" s="115"/>
      <c r="D33" s="40">
        <f>SUM(TabelaIRPF[Janeiro])</f>
        <v>0</v>
      </c>
      <c r="E33" s="40">
        <f>SUM(TabelaIRPF[Fevereiro])</f>
        <v>0</v>
      </c>
      <c r="F33" s="40">
        <f>SUM(TabelaIRPF[Março])</f>
        <v>0</v>
      </c>
      <c r="G33" s="40">
        <f>SUM(TabelaIRPF[Abril])</f>
        <v>0</v>
      </c>
      <c r="H33" s="40">
        <f>SUM(TabelaIRPF[Maio])</f>
        <v>0</v>
      </c>
      <c r="I33" s="40">
        <f>SUM(TabelaIRPF[Junho])</f>
        <v>0</v>
      </c>
      <c r="J33" s="40">
        <f>SUM(TabelaIRPF[Julho])</f>
        <v>0</v>
      </c>
      <c r="K33" s="40">
        <f>SUM(TabelaIRPF[Agosto])</f>
        <v>0</v>
      </c>
      <c r="L33" s="40">
        <f>SUM(TabelaIRPF[Setembro])</f>
        <v>0</v>
      </c>
      <c r="M33" s="40">
        <f>SUM(TabelaIRPF[Outubro])</f>
        <v>0</v>
      </c>
      <c r="N33" s="40">
        <f>SUM(TabelaIRPF[Novembro])</f>
        <v>0</v>
      </c>
      <c r="O33" s="40">
        <f>SUM(TabelaIRPF[Dezembro])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P33"/>
  <sheetViews>
    <sheetView zoomScale="80" zoomScaleNormal="80" workbookViewId="0">
      <selection activeCell="A2" sqref="A2"/>
    </sheetView>
  </sheetViews>
  <sheetFormatPr defaultRowHeight="12.75" x14ac:dyDescent="0.2"/>
  <cols>
    <col min="1" max="1" width="3.42578125" style="7" bestFit="1" customWidth="1"/>
    <col min="2" max="2" width="35.7109375" style="7" customWidth="1"/>
    <col min="3" max="3" width="30.7109375" style="7" customWidth="1"/>
    <col min="4" max="7" width="14.28515625" style="2" bestFit="1" customWidth="1"/>
    <col min="8" max="15" width="13" style="2" bestFit="1" customWidth="1"/>
    <col min="16" max="16" width="21.42578125" style="2" bestFit="1" customWidth="1"/>
    <col min="17" max="16384" width="9.140625" style="2"/>
  </cols>
  <sheetData>
    <row r="1" spans="1:16" s="1" customFormat="1" ht="50.1" customHeight="1" thickBot="1" x14ac:dyDescent="0.3">
      <c r="A1" s="111" t="str">
        <f>CONCATENATE(UPPER("08 - INSS")," - ",UPPER('00 - Entidade'!A14:E14))</f>
        <v>08 - INSS - B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</row>
    <row r="2" spans="1:16" s="1" customFormat="1" x14ac:dyDescent="0.25">
      <c r="A2" s="5" t="s">
        <v>20</v>
      </c>
      <c r="B2" s="5" t="s">
        <v>0</v>
      </c>
      <c r="C2" s="6" t="s">
        <v>1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19</v>
      </c>
      <c r="I2" s="3" t="s">
        <v>15</v>
      </c>
      <c r="J2" s="3" t="s">
        <v>16</v>
      </c>
      <c r="K2" s="3" t="s">
        <v>17</v>
      </c>
      <c r="L2" s="3" t="s">
        <v>24</v>
      </c>
      <c r="M2" s="3" t="s">
        <v>18</v>
      </c>
      <c r="N2" s="3" t="s">
        <v>22</v>
      </c>
      <c r="O2" s="3" t="s">
        <v>23</v>
      </c>
      <c r="P2" s="4" t="s">
        <v>2</v>
      </c>
    </row>
    <row r="3" spans="1:16" s="1" customFormat="1" x14ac:dyDescent="0.25">
      <c r="A3" s="8">
        <f>TabelaSalarioBase[[#This Row],[Nº]]</f>
        <v>1</v>
      </c>
      <c r="B3" s="8">
        <f>TabelaSalarioBase[[#This Row],[Nome]]</f>
        <v>0</v>
      </c>
      <c r="C3" s="9">
        <f>TabelaSalarioBase[[#This Row],[Cargo]]</f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>
        <f>SUM(D3:O3)</f>
        <v>0</v>
      </c>
    </row>
    <row r="4" spans="1:16" s="1" customFormat="1" x14ac:dyDescent="0.25">
      <c r="A4" s="8">
        <f>TabelaSalarioBase[[#This Row],[Nº]]</f>
        <v>2</v>
      </c>
      <c r="B4" s="8">
        <f>TabelaSalarioBase[[#This Row],[Nome]]</f>
        <v>0</v>
      </c>
      <c r="C4" s="9">
        <f>TabelaSalarioBase[[#This Row],[Cargo]]</f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>
        <f t="shared" ref="P4:P29" si="0">SUM(D4:O4)</f>
        <v>0</v>
      </c>
    </row>
    <row r="5" spans="1:16" s="1" customFormat="1" x14ac:dyDescent="0.25">
      <c r="A5" s="8">
        <f>TabelaSalarioBase[[#This Row],[Nº]]</f>
        <v>3</v>
      </c>
      <c r="B5" s="8">
        <f>TabelaSalarioBase[[#This Row],[Nome]]</f>
        <v>0</v>
      </c>
      <c r="C5" s="9">
        <f>TabelaSalarioBase[[#This Row],[Cargo]]</f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>
        <f t="shared" si="0"/>
        <v>0</v>
      </c>
    </row>
    <row r="6" spans="1:16" s="1" customFormat="1" x14ac:dyDescent="0.25">
      <c r="A6" s="8">
        <f>TabelaSalarioBase[[#This Row],[Nº]]</f>
        <v>4</v>
      </c>
      <c r="B6" s="8">
        <f>TabelaSalarioBase[[#This Row],[Nome]]</f>
        <v>0</v>
      </c>
      <c r="C6" s="9">
        <f>TabelaSalarioBase[[#This Row],[Cargo]]</f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1">
        <f t="shared" si="0"/>
        <v>0</v>
      </c>
    </row>
    <row r="7" spans="1:16" s="1" customFormat="1" x14ac:dyDescent="0.25">
      <c r="A7" s="8">
        <f>TabelaSalarioBase[[#This Row],[Nº]]</f>
        <v>5</v>
      </c>
      <c r="B7" s="8">
        <f>TabelaSalarioBase[[#This Row],[Nome]]</f>
        <v>0</v>
      </c>
      <c r="C7" s="9">
        <f>TabelaSalarioBase[[#This Row],[Cargo]]</f>
        <v>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>
        <f t="shared" si="0"/>
        <v>0</v>
      </c>
    </row>
    <row r="8" spans="1:16" s="1" customFormat="1" x14ac:dyDescent="0.25">
      <c r="A8" s="8">
        <f>TabelaSalarioBase[[#This Row],[Nº]]</f>
        <v>6</v>
      </c>
      <c r="B8" s="8">
        <f>TabelaSalarioBase[[#This Row],[Nome]]</f>
        <v>0</v>
      </c>
      <c r="C8" s="9">
        <f>TabelaSalarioBase[[#This Row],[Cargo]]</f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>
        <f t="shared" si="0"/>
        <v>0</v>
      </c>
    </row>
    <row r="9" spans="1:16" s="1" customFormat="1" x14ac:dyDescent="0.25">
      <c r="A9" s="8">
        <f>TabelaSalarioBase[[#This Row],[Nº]]</f>
        <v>7</v>
      </c>
      <c r="B9" s="8">
        <f>TabelaSalarioBase[[#This Row],[Nome]]</f>
        <v>0</v>
      </c>
      <c r="C9" s="9">
        <f>TabelaSalarioBase[[#This Row],[Cargo]]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>
        <f t="shared" si="0"/>
        <v>0</v>
      </c>
    </row>
    <row r="10" spans="1:16" s="1" customFormat="1" x14ac:dyDescent="0.25">
      <c r="A10" s="8">
        <f>TabelaSalarioBase[[#This Row],[Nº]]</f>
        <v>8</v>
      </c>
      <c r="B10" s="8">
        <f>TabelaSalarioBase[[#This Row],[Nome]]</f>
        <v>0</v>
      </c>
      <c r="C10" s="9">
        <f>TabelaSalarioBase[[#This Row],[Cargo]]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1">
        <f t="shared" si="0"/>
        <v>0</v>
      </c>
    </row>
    <row r="11" spans="1:16" s="1" customFormat="1" x14ac:dyDescent="0.25">
      <c r="A11" s="8">
        <f>TabelaSalarioBase[[#This Row],[Nº]]</f>
        <v>9</v>
      </c>
      <c r="B11" s="8">
        <f>TabelaSalarioBase[[#This Row],[Nome]]</f>
        <v>0</v>
      </c>
      <c r="C11" s="9">
        <f>TabelaSalarioBase[[#This Row],[Cargo]]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1">
        <f t="shared" si="0"/>
        <v>0</v>
      </c>
    </row>
    <row r="12" spans="1:16" s="1" customFormat="1" x14ac:dyDescent="0.25">
      <c r="A12" s="8">
        <f>TabelaSalarioBase[[#This Row],[Nº]]</f>
        <v>10</v>
      </c>
      <c r="B12" s="8">
        <f>TabelaSalarioBase[[#This Row],[Nome]]</f>
        <v>0</v>
      </c>
      <c r="C12" s="9">
        <f>TabelaSalarioBase[[#This Row],[Cargo]]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">
        <f t="shared" si="0"/>
        <v>0</v>
      </c>
    </row>
    <row r="13" spans="1:16" s="1" customFormat="1" x14ac:dyDescent="0.25">
      <c r="A13" s="8">
        <f>TabelaSalarioBase[[#This Row],[Nº]]</f>
        <v>11</v>
      </c>
      <c r="B13" s="8">
        <f>TabelaSalarioBase[[#This Row],[Nome]]</f>
        <v>0</v>
      </c>
      <c r="C13" s="9">
        <f>TabelaSalarioBase[[#This Row],[Cargo]]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1">
        <f t="shared" si="0"/>
        <v>0</v>
      </c>
    </row>
    <row r="14" spans="1:16" s="1" customFormat="1" x14ac:dyDescent="0.25">
      <c r="A14" s="8">
        <f>TabelaSalarioBase[[#This Row],[Nº]]</f>
        <v>12</v>
      </c>
      <c r="B14" s="8">
        <f>TabelaSalarioBase[[#This Row],[Nome]]</f>
        <v>0</v>
      </c>
      <c r="C14" s="9">
        <f>TabelaSalarioBase[[#This Row],[Cargo]]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 t="shared" si="0"/>
        <v>0</v>
      </c>
    </row>
    <row r="15" spans="1:16" s="1" customFormat="1" x14ac:dyDescent="0.25">
      <c r="A15" s="8">
        <f>TabelaSalarioBase[[#This Row],[Nº]]</f>
        <v>13</v>
      </c>
      <c r="B15" s="8">
        <f>TabelaSalarioBase[[#This Row],[Nome]]</f>
        <v>0</v>
      </c>
      <c r="C15" s="9">
        <f>TabelaSalarioBase[[#This Row],[Cargo]]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">
        <f t="shared" si="0"/>
        <v>0</v>
      </c>
    </row>
    <row r="16" spans="1:16" s="1" customFormat="1" x14ac:dyDescent="0.25">
      <c r="A16" s="8">
        <f>TabelaSalarioBase[[#This Row],[Nº]]</f>
        <v>14</v>
      </c>
      <c r="B16" s="8">
        <f>TabelaSalarioBase[[#This Row],[Nome]]</f>
        <v>0</v>
      </c>
      <c r="C16" s="9">
        <f>TabelaSalarioBase[[#This Row],[Cargo]]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">
        <f t="shared" si="0"/>
        <v>0</v>
      </c>
    </row>
    <row r="17" spans="1:16" s="1" customFormat="1" x14ac:dyDescent="0.25">
      <c r="A17" s="8">
        <f>TabelaSalarioBase[[#This Row],[Nº]]</f>
        <v>15</v>
      </c>
      <c r="B17" s="8">
        <f>TabelaSalarioBase[[#This Row],[Nome]]</f>
        <v>0</v>
      </c>
      <c r="C17" s="9">
        <f>TabelaSalarioBase[[#This Row],[Cargo]]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1">
        <f>SUM(D17:O17)</f>
        <v>0</v>
      </c>
    </row>
    <row r="18" spans="1:16" s="1" customFormat="1" x14ac:dyDescent="0.25">
      <c r="A18" s="8">
        <f>TabelaSalarioBase[[#This Row],[Nº]]</f>
        <v>16</v>
      </c>
      <c r="B18" s="8">
        <f>TabelaSalarioBase[[#This Row],[Nome]]</f>
        <v>0</v>
      </c>
      <c r="C18" s="9">
        <f>TabelaSalarioBase[[#This Row],[Cargo]]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1">
        <f t="shared" si="0"/>
        <v>0</v>
      </c>
    </row>
    <row r="19" spans="1:16" s="1" customFormat="1" x14ac:dyDescent="0.25">
      <c r="A19" s="8">
        <f>TabelaSalarioBase[[#This Row],[Nº]]</f>
        <v>17</v>
      </c>
      <c r="B19" s="8">
        <f>TabelaSalarioBase[[#This Row],[Nome]]</f>
        <v>0</v>
      </c>
      <c r="C19" s="9">
        <f>TabelaSalarioBase[[#This Row],[Cargo]]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 t="shared" si="0"/>
        <v>0</v>
      </c>
    </row>
    <row r="20" spans="1:16" s="1" customFormat="1" x14ac:dyDescent="0.25">
      <c r="A20" s="8">
        <f>TabelaSalarioBase[[#This Row],[Nº]]</f>
        <v>18</v>
      </c>
      <c r="B20" s="8">
        <f>TabelaSalarioBase[[#This Row],[Nome]]</f>
        <v>0</v>
      </c>
      <c r="C20" s="9">
        <f>TabelaSalarioBase[[#This Row],[Cargo]]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1">
        <f t="shared" si="0"/>
        <v>0</v>
      </c>
    </row>
    <row r="21" spans="1:16" s="1" customFormat="1" x14ac:dyDescent="0.25">
      <c r="A21" s="8">
        <f>TabelaSalarioBase[[#This Row],[Nº]]</f>
        <v>19</v>
      </c>
      <c r="B21" s="8">
        <f>TabelaSalarioBase[[#This Row],[Nome]]</f>
        <v>0</v>
      </c>
      <c r="C21" s="9">
        <f>TabelaSalarioBase[[#This Row],[Cargo]]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1">
        <f>SUM(D21:O21)</f>
        <v>0</v>
      </c>
    </row>
    <row r="22" spans="1:16" s="1" customFormat="1" x14ac:dyDescent="0.25">
      <c r="A22" s="8">
        <f>TabelaSalarioBase[[#This Row],[Nº]]</f>
        <v>20</v>
      </c>
      <c r="B22" s="8">
        <f>TabelaSalarioBase[[#This Row],[Nome]]</f>
        <v>0</v>
      </c>
      <c r="C22" s="9">
        <f>TabelaSalarioBase[[#This Row],[Cargo]]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1">
        <f t="shared" si="0"/>
        <v>0</v>
      </c>
    </row>
    <row r="23" spans="1:16" s="1" customFormat="1" x14ac:dyDescent="0.25">
      <c r="A23" s="8">
        <f>TabelaSalarioBase[[#This Row],[Nº]]</f>
        <v>21</v>
      </c>
      <c r="B23" s="8">
        <f>TabelaSalarioBase[[#This Row],[Nome]]</f>
        <v>0</v>
      </c>
      <c r="C23" s="9">
        <f>TabelaSalarioBase[[#This Row],[Cargo]]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1">
        <f t="shared" si="0"/>
        <v>0</v>
      </c>
    </row>
    <row r="24" spans="1:16" s="1" customFormat="1" x14ac:dyDescent="0.25">
      <c r="A24" s="8">
        <f>TabelaSalarioBase[[#This Row],[Nº]]</f>
        <v>22</v>
      </c>
      <c r="B24" s="8">
        <f>TabelaSalarioBase[[#This Row],[Nome]]</f>
        <v>0</v>
      </c>
      <c r="C24" s="9">
        <f>TabelaSalarioBase[[#This Row],[Cargo]]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 t="shared" si="0"/>
        <v>0</v>
      </c>
    </row>
    <row r="25" spans="1:16" s="1" customFormat="1" x14ac:dyDescent="0.25">
      <c r="A25" s="8">
        <f>TabelaSalarioBase[[#This Row],[Nº]]</f>
        <v>23</v>
      </c>
      <c r="B25" s="8">
        <f>TabelaSalarioBase[[#This Row],[Nome]]</f>
        <v>0</v>
      </c>
      <c r="C25" s="9">
        <f>TabelaSalarioBase[[#This Row],[Cargo]]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1">
        <f t="shared" si="0"/>
        <v>0</v>
      </c>
    </row>
    <row r="26" spans="1:16" s="1" customFormat="1" x14ac:dyDescent="0.25">
      <c r="A26" s="8">
        <f>TabelaSalarioBase[[#This Row],[Nº]]</f>
        <v>24</v>
      </c>
      <c r="B26" s="8">
        <f>TabelaSalarioBase[[#This Row],[Nome]]</f>
        <v>0</v>
      </c>
      <c r="C26" s="9">
        <f>TabelaSalarioBase[[#This Row],[Cargo]]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>
        <f t="shared" si="0"/>
        <v>0</v>
      </c>
    </row>
    <row r="27" spans="1:16" s="1" customFormat="1" x14ac:dyDescent="0.25">
      <c r="A27" s="8">
        <f>TabelaSalarioBase[[#This Row],[Nº]]</f>
        <v>25</v>
      </c>
      <c r="B27" s="8">
        <f>TabelaSalarioBase[[#This Row],[Nome]]</f>
        <v>0</v>
      </c>
      <c r="C27" s="9">
        <f>TabelaSalarioBase[[#This Row],[Cargo]]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>
        <f t="shared" si="0"/>
        <v>0</v>
      </c>
    </row>
    <row r="28" spans="1:16" s="1" customFormat="1" x14ac:dyDescent="0.25">
      <c r="A28" s="8">
        <f>TabelaSalarioBase[[#This Row],[Nº]]</f>
        <v>26</v>
      </c>
      <c r="B28" s="8">
        <f>TabelaSalarioBase[[#This Row],[Nome]]</f>
        <v>0</v>
      </c>
      <c r="C28" s="9">
        <f>TabelaSalarioBase[[#This Row],[Cargo]]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>
        <f t="shared" si="0"/>
        <v>0</v>
      </c>
    </row>
    <row r="29" spans="1:16" s="1" customFormat="1" x14ac:dyDescent="0.25">
      <c r="A29" s="8">
        <f>TabelaSalarioBase[[#This Row],[Nº]]</f>
        <v>27</v>
      </c>
      <c r="B29" s="8">
        <f>TabelaSalarioBase[[#This Row],[Nome]]</f>
        <v>0</v>
      </c>
      <c r="C29" s="9">
        <f>TabelaSalarioBase[[#This Row],[Cargo]]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>
        <f t="shared" si="0"/>
        <v>0</v>
      </c>
    </row>
    <row r="30" spans="1:16" s="1" customFormat="1" x14ac:dyDescent="0.25">
      <c r="A30" s="8">
        <f>TabelaSalarioBase[[#This Row],[Nº]]</f>
        <v>28</v>
      </c>
      <c r="B30" s="8">
        <f>TabelaSalarioBase[[#This Row],[Nome]]</f>
        <v>0</v>
      </c>
      <c r="C30" s="9">
        <f>TabelaSalarioBase[[#This Row],[Cargo]]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1">
        <f>SUM(D30:O30)</f>
        <v>0</v>
      </c>
    </row>
    <row r="31" spans="1:16" s="1" customFormat="1" x14ac:dyDescent="0.25">
      <c r="A31" s="8">
        <f>TabelaSalarioBase[[#This Row],[Nº]]</f>
        <v>29</v>
      </c>
      <c r="B31" s="8">
        <f>TabelaSalarioBase[[#This Row],[Nome]]</f>
        <v>0</v>
      </c>
      <c r="C31" s="9">
        <f>TabelaSalarioBase[[#This Row],[Cargo]]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1">
        <f>SUM(D31:O31)</f>
        <v>0</v>
      </c>
    </row>
    <row r="32" spans="1:16" s="1" customFormat="1" x14ac:dyDescent="0.25">
      <c r="A32" s="8">
        <f>TabelaSalarioBase[[#This Row],[Nº]]</f>
        <v>30</v>
      </c>
      <c r="B32" s="18">
        <f>TabelaSalarioBase[[#This Row],[Nome]]</f>
        <v>0</v>
      </c>
      <c r="C32" s="19">
        <f>TabelaSalarioBase[[#This Row],[Cargo]]</f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SUM(D32:O32)</f>
        <v>0</v>
      </c>
    </row>
    <row r="33" spans="1:16" ht="18" x14ac:dyDescent="0.25">
      <c r="A33" s="114" t="s">
        <v>7</v>
      </c>
      <c r="B33" s="115"/>
      <c r="C33" s="115"/>
      <c r="D33" s="40">
        <f>SUM(TabelaINSS[Janeiro])</f>
        <v>0</v>
      </c>
      <c r="E33" s="40">
        <f>SUM(TabelaINSS[Fevereiro])</f>
        <v>0</v>
      </c>
      <c r="F33" s="40">
        <f>SUM(TabelaINSS[Março])</f>
        <v>0</v>
      </c>
      <c r="G33" s="40">
        <f>SUM(TabelaINSS[Abril])</f>
        <v>0</v>
      </c>
      <c r="H33" s="40">
        <f>SUM(TabelaINSS[Maio])</f>
        <v>0</v>
      </c>
      <c r="I33" s="40">
        <f>SUM(TabelaINSS[Junho])</f>
        <v>0</v>
      </c>
      <c r="J33" s="40">
        <f>SUM(TabelaINSS[Julho])</f>
        <v>0</v>
      </c>
      <c r="K33" s="40">
        <f>SUM(TabelaINSS[Agosto])</f>
        <v>0</v>
      </c>
      <c r="L33" s="40">
        <f>SUM(TabelaINSS[Setembro])</f>
        <v>0</v>
      </c>
      <c r="M33" s="40">
        <f>SUM(TabelaINSS[Outubro])</f>
        <v>0</v>
      </c>
      <c r="N33" s="40">
        <f>SUM(TabelaINSS[Novembro])</f>
        <v>0</v>
      </c>
      <c r="O33" s="40">
        <f>SUM(TabelaINSS[Dezembro])</f>
        <v>0</v>
      </c>
      <c r="P33" s="22">
        <f>SUM(P3:P32)</f>
        <v>0</v>
      </c>
    </row>
  </sheetData>
  <mergeCells count="2">
    <mergeCell ref="A1:P1"/>
    <mergeCell ref="A33:C33"/>
  </mergeCells>
  <pageMargins left="0.25" right="0.25" top="0.75" bottom="0.75" header="0.3" footer="0.3"/>
  <pageSetup paperSize="9" scale="56" fitToHeight="0" orientation="landscape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k Z R W V d R b A C l A A A A 9 Q A A A B I A H A B D b 2 5 m a W c v U G F j a 2 F n Z S 5 4 b W w g o h g A K K A U A A A A A A A A A A A A A A A A A A A A A A A A A A A A h Y / R C o I w G I V f R X b v N p U o 5 H d C 3 S Z E Q X Q 7 5 t K h T n G z + W 5 d 9 E i 9 Q k Z Z 3 X V 5 v n M O n H O / 3 i A d m 9 q 7 y N 6 o V i c o w B R 5 U o s 2 V 7 p I 0 G D P / g q l D H Z c V L y Q 3 h T W J h 6 N S l B p b R c T 4 p z D L s J t X 5 C Q 0 o C c s u 1 B l L L h v t L G c i 0 k + r T y / y 3 E 4 P g a w 0 I c R B F e L D E F M j P I l P 7 6 4 T T 3 6 f 5 A 2 A y 1 H X r J O u u v 9 0 B m C e R 9 g T 0 A U E s D B B Q A A g A I A I 5 G U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R l F Z K I p H u A 4 A A A A R A A A A E w A c A E Z v c m 1 1 b G F z L 1 N l Y 3 R p b 2 4 x L m 0 g o h g A K K A U A A A A A A A A A A A A A A A A A A A A A A A A A A A A K 0 5 N L s n M z 1 M I h t C G 1 g B Q S w E C L Q A U A A I A C A C O R l F Z V 1 F s A K U A A A D 1 A A A A E g A A A A A A A A A A A A A A A A A A A A A A Q 2 9 u Z m l n L 1 B h Y 2 t h Z 2 U u e G 1 s U E s B A i 0 A F A A C A A g A j k Z R W Q / K 6 a u k A A A A 6 Q A A A B M A A A A A A A A A A A A A A A A A 8 Q A A A F t D b 2 5 0 Z W 5 0 X 1 R 5 c G V z X S 5 4 b W x Q S w E C L Q A U A A I A C A C O R l F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F G M 2 T w W + E O D l w / L 1 6 U j h A A A A A A C A A A A A A A D Z g A A w A A A A B A A A A A 4 y / s + H E h T a v p N r 1 g 8 r 4 l V A A A A A A S A A A C g A A A A E A A A A A 9 / 6 l d F n b M F p l s r V b 1 b k w 1 Q A A A A V a Y f x t k i 2 D Y H m D M 7 8 M k z m g Y p q J Y Q A a a 4 + H H q h r 0 d b j j q 0 K 0 / 4 m x k w v c d w z B p T U D 6 7 b k 4 0 M c A V r X V x w 5 q M f F s m p 0 e U y b J d T o 6 Y 6 n T y O / B + W s U A A A A r Z F A l w I l P T Y Y m j 1 G T E W d m 4 t 2 s I Y = < / D a t a M a s h u p > 
</file>

<file path=customXml/itemProps1.xml><?xml version="1.0" encoding="utf-8"?>
<ds:datastoreItem xmlns:ds="http://schemas.openxmlformats.org/officeDocument/2006/customXml" ds:itemID="{2147C1A6-AC22-4399-A8EC-A8030F0E41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00 - Entidade</vt:lpstr>
      <vt:lpstr>01 - Salario</vt:lpstr>
      <vt:lpstr>02 - VA</vt:lpstr>
      <vt:lpstr>03 - VR</vt:lpstr>
      <vt:lpstr>04 - VT</vt:lpstr>
      <vt:lpstr>05 - Assistência Médica</vt:lpstr>
      <vt:lpstr>06 - Assistência Odontológica</vt:lpstr>
      <vt:lpstr>07 - IRPF</vt:lpstr>
      <vt:lpstr>08 - INSS</vt:lpstr>
      <vt:lpstr>09 - FGTS</vt:lpstr>
      <vt:lpstr>10 - INSS Patronal</vt:lpstr>
      <vt:lpstr>11 - PIS</vt:lpstr>
      <vt:lpstr>12 - 13º Salário</vt:lpstr>
      <vt:lpstr>13 - Férias</vt:lpstr>
      <vt:lpstr>14 - Aviso Prévio</vt:lpstr>
      <vt:lpstr>15 - Multa Rescisória FGTS</vt:lpstr>
      <vt:lpstr>16 - Estagiários</vt:lpstr>
      <vt:lpstr>17 - Generos Alimentícios</vt:lpstr>
      <vt:lpstr>18 - Gastos Administrativos</vt:lpstr>
      <vt:lpstr>19 - Serviço de Terceiros</vt:lpstr>
      <vt:lpstr>21 - Materiais</vt:lpstr>
      <vt:lpstr>25 - Diversos</vt:lpstr>
      <vt:lpstr>30 -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Silveira Melo</dc:creator>
  <cp:lastModifiedBy>Bruno Silveira de Melo</cp:lastModifiedBy>
  <cp:lastPrinted>2024-10-21T13:07:30Z</cp:lastPrinted>
  <dcterms:created xsi:type="dcterms:W3CDTF">2023-06-30T13:39:47Z</dcterms:created>
  <dcterms:modified xsi:type="dcterms:W3CDTF">2025-10-02T12:52:16Z</dcterms:modified>
</cp:coreProperties>
</file>