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\\10.1.1.10\Divisão de Convenios\Modelos - Formalização\2024  MODELOS AUDESP FASE V\Saúde e Conselhos - Finalizado\"/>
    </mc:Choice>
  </mc:AlternateContent>
  <xr:revisionPtr revIDLastSave="0" documentId="13_ncr:1_{D1722D7C-E61A-4486-9A0F-A38928E30891}" xr6:coauthVersionLast="47" xr6:coauthVersionMax="47" xr10:uidLastSave="{00000000-0000-0000-0000-000000000000}"/>
  <bookViews>
    <workbookView xWindow="-120" yWindow="-120" windowWidth="24240" windowHeight="13020" tabRatio="794" activeTab="10" xr2:uid="{00000000-000D-0000-FFFF-FFFF00000000}"/>
  </bookViews>
  <sheets>
    <sheet name="01 - Salario" sheetId="1" r:id="rId1"/>
    <sheet name="02 - VA" sheetId="58" r:id="rId2"/>
    <sheet name="03 - VR" sheetId="59" r:id="rId3"/>
    <sheet name="04 - VT" sheetId="60" r:id="rId4"/>
    <sheet name="05 - IRPF" sheetId="39" r:id="rId5"/>
    <sheet name="06 - INSS" sheetId="37" r:id="rId6"/>
    <sheet name="07 - FGTS" sheetId="43" r:id="rId7"/>
    <sheet name="08 - INSS Patronal" sheetId="38" r:id="rId8"/>
    <sheet name="09 - PIS" sheetId="40" r:id="rId9"/>
    <sheet name="10 - 13º Salário" sheetId="41" r:id="rId10"/>
    <sheet name="11 - Férias" sheetId="44" r:id="rId11"/>
    <sheet name="12 - Multa Rescisória FGTS" sheetId="45" r:id="rId12"/>
    <sheet name="13 - RH6" sheetId="47" r:id="rId13"/>
    <sheet name="14 - MC e GA" sheetId="48" r:id="rId14"/>
    <sheet name="15 - Serviço de Terceiros" sheetId="49" r:id="rId15"/>
    <sheet name="16 - Utilidades Públicas" sheetId="50" r:id="rId16"/>
    <sheet name="17 - Locação" sheetId="51" r:id="rId17"/>
    <sheet name="18 - Diversos" sheetId="52" r:id="rId18"/>
    <sheet name="19 - Permanentes" sheetId="54" r:id="rId19"/>
    <sheet name="20 -  Serviços Médicos" sheetId="55" r:id="rId20"/>
    <sheet name="21 - Material Médico e Hospitar" sheetId="56" r:id="rId21"/>
    <sheet name="22 - Medicamentos" sheetId="53" r:id="rId22"/>
    <sheet name="23 - Total" sheetId="57" r:id="rId2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3" i="1" l="1"/>
  <c r="F33" i="1"/>
  <c r="G33" i="1"/>
  <c r="H33" i="1"/>
  <c r="I33" i="1"/>
  <c r="J33" i="1"/>
  <c r="K33" i="1"/>
  <c r="L33" i="1"/>
  <c r="M33" i="1"/>
  <c r="N33" i="1"/>
  <c r="O33" i="1"/>
  <c r="D33" i="1"/>
  <c r="E33" i="58"/>
  <c r="F33" i="58"/>
  <c r="G33" i="58"/>
  <c r="H33" i="58"/>
  <c r="I33" i="58"/>
  <c r="J33" i="58"/>
  <c r="K33" i="58"/>
  <c r="L33" i="58"/>
  <c r="M33" i="58"/>
  <c r="N33" i="58"/>
  <c r="O33" i="58"/>
  <c r="D33" i="58"/>
  <c r="E33" i="59"/>
  <c r="F33" i="59"/>
  <c r="G33" i="59"/>
  <c r="H33" i="59"/>
  <c r="I33" i="59"/>
  <c r="J33" i="59"/>
  <c r="K33" i="59"/>
  <c r="L33" i="59"/>
  <c r="M33" i="59"/>
  <c r="N33" i="59"/>
  <c r="O33" i="59"/>
  <c r="D33" i="59"/>
  <c r="E33" i="60"/>
  <c r="F33" i="60"/>
  <c r="G33" i="60"/>
  <c r="H33" i="60"/>
  <c r="I33" i="60"/>
  <c r="J33" i="60"/>
  <c r="K33" i="60"/>
  <c r="L33" i="60"/>
  <c r="M33" i="60"/>
  <c r="N33" i="60"/>
  <c r="O33" i="60"/>
  <c r="D33" i="60"/>
  <c r="E33" i="39"/>
  <c r="F33" i="39"/>
  <c r="G33" i="39"/>
  <c r="H33" i="39"/>
  <c r="I33" i="39"/>
  <c r="J33" i="39"/>
  <c r="K33" i="39"/>
  <c r="L33" i="39"/>
  <c r="M33" i="39"/>
  <c r="N33" i="39"/>
  <c r="O33" i="39"/>
  <c r="D33" i="39"/>
  <c r="E33" i="37"/>
  <c r="F33" i="37"/>
  <c r="G33" i="37"/>
  <c r="H33" i="37"/>
  <c r="I33" i="37"/>
  <c r="J33" i="37"/>
  <c r="K33" i="37"/>
  <c r="L33" i="37"/>
  <c r="M33" i="37"/>
  <c r="N33" i="37"/>
  <c r="O33" i="37"/>
  <c r="D33" i="37"/>
  <c r="F33" i="43"/>
  <c r="G33" i="43"/>
  <c r="H33" i="43"/>
  <c r="I33" i="43"/>
  <c r="J33" i="43"/>
  <c r="K33" i="43"/>
  <c r="L33" i="43"/>
  <c r="M33" i="43"/>
  <c r="N33" i="43"/>
  <c r="O33" i="43"/>
  <c r="P33" i="43"/>
  <c r="E33" i="43"/>
  <c r="F33" i="38"/>
  <c r="G33" i="38"/>
  <c r="H33" i="38"/>
  <c r="I33" i="38"/>
  <c r="J33" i="38"/>
  <c r="K33" i="38"/>
  <c r="L33" i="38"/>
  <c r="M33" i="38"/>
  <c r="N33" i="38"/>
  <c r="O33" i="38"/>
  <c r="P33" i="38"/>
  <c r="E33" i="38"/>
  <c r="F33" i="40"/>
  <c r="G33" i="40"/>
  <c r="H33" i="40"/>
  <c r="I33" i="40"/>
  <c r="J33" i="40"/>
  <c r="K33" i="40"/>
  <c r="L33" i="40"/>
  <c r="M33" i="40"/>
  <c r="N33" i="40"/>
  <c r="O33" i="40"/>
  <c r="P33" i="40"/>
  <c r="E33" i="40"/>
  <c r="J33" i="41"/>
  <c r="I33" i="41"/>
  <c r="H33" i="41"/>
  <c r="G33" i="41"/>
  <c r="F33" i="41"/>
  <c r="E33" i="41"/>
  <c r="D33" i="41"/>
  <c r="J33" i="44"/>
  <c r="I33" i="44"/>
  <c r="H33" i="44"/>
  <c r="G33" i="44"/>
  <c r="F33" i="44"/>
  <c r="D33" i="44"/>
  <c r="E33" i="45"/>
  <c r="F33" i="45"/>
  <c r="G33" i="45"/>
  <c r="H33" i="45"/>
  <c r="I33" i="45"/>
  <c r="J33" i="45"/>
  <c r="K33" i="45"/>
  <c r="L33" i="45"/>
  <c r="M33" i="45"/>
  <c r="N33" i="45"/>
  <c r="O33" i="45"/>
  <c r="D33" i="45"/>
  <c r="E13" i="47"/>
  <c r="F13" i="47"/>
  <c r="G13" i="47"/>
  <c r="H13" i="47"/>
  <c r="I13" i="47"/>
  <c r="J13" i="47"/>
  <c r="K13" i="47"/>
  <c r="L13" i="47"/>
  <c r="M13" i="47"/>
  <c r="N13" i="47"/>
  <c r="O13" i="47"/>
  <c r="D13" i="47"/>
  <c r="E13" i="48"/>
  <c r="F13" i="48"/>
  <c r="G13" i="48"/>
  <c r="H13" i="48"/>
  <c r="I13" i="48"/>
  <c r="J13" i="48"/>
  <c r="K13" i="48"/>
  <c r="L13" i="48"/>
  <c r="M13" i="48"/>
  <c r="N13" i="48"/>
  <c r="O13" i="48"/>
  <c r="D13" i="48"/>
  <c r="E13" i="49"/>
  <c r="F13" i="49"/>
  <c r="G13" i="49"/>
  <c r="H13" i="49"/>
  <c r="I13" i="49"/>
  <c r="J13" i="49"/>
  <c r="K13" i="49"/>
  <c r="L13" i="49"/>
  <c r="M13" i="49"/>
  <c r="N13" i="49"/>
  <c r="O13" i="49"/>
  <c r="D13" i="49"/>
  <c r="D7" i="50"/>
  <c r="E7" i="50"/>
  <c r="F7" i="50"/>
  <c r="G7" i="50"/>
  <c r="H7" i="50"/>
  <c r="I7" i="50"/>
  <c r="J7" i="50"/>
  <c r="K7" i="50"/>
  <c r="L7" i="50"/>
  <c r="M7" i="50"/>
  <c r="N7" i="50"/>
  <c r="C7" i="50"/>
  <c r="E13" i="51"/>
  <c r="F13" i="51"/>
  <c r="G13" i="51"/>
  <c r="H13" i="51"/>
  <c r="I13" i="51"/>
  <c r="J13" i="51"/>
  <c r="K13" i="51"/>
  <c r="L13" i="51"/>
  <c r="M13" i="51"/>
  <c r="N13" i="51"/>
  <c r="O13" i="51"/>
  <c r="D13" i="51"/>
  <c r="D13" i="52"/>
  <c r="E13" i="52"/>
  <c r="F13" i="52"/>
  <c r="G13" i="52"/>
  <c r="H13" i="52"/>
  <c r="I13" i="52"/>
  <c r="J13" i="52"/>
  <c r="K13" i="52"/>
  <c r="L13" i="52"/>
  <c r="M13" i="52"/>
  <c r="N13" i="52"/>
  <c r="C13" i="52"/>
  <c r="E13" i="54"/>
  <c r="F13" i="54"/>
  <c r="G13" i="54"/>
  <c r="H13" i="54"/>
  <c r="I13" i="54"/>
  <c r="J13" i="54"/>
  <c r="K13" i="54"/>
  <c r="L13" i="54"/>
  <c r="M13" i="54"/>
  <c r="N13" i="54"/>
  <c r="O13" i="54"/>
  <c r="D13" i="54"/>
  <c r="E13" i="55"/>
  <c r="F13" i="55"/>
  <c r="G13" i="55"/>
  <c r="H13" i="55"/>
  <c r="I13" i="55"/>
  <c r="J13" i="55"/>
  <c r="K13" i="55"/>
  <c r="L13" i="55"/>
  <c r="M13" i="55"/>
  <c r="N13" i="55"/>
  <c r="O13" i="55"/>
  <c r="D13" i="55"/>
  <c r="E13" i="56"/>
  <c r="F13" i="56"/>
  <c r="G13" i="56"/>
  <c r="H13" i="56"/>
  <c r="I13" i="56"/>
  <c r="J13" i="56"/>
  <c r="K13" i="56"/>
  <c r="L13" i="56"/>
  <c r="M13" i="56"/>
  <c r="N13" i="56"/>
  <c r="O13" i="56"/>
  <c r="D13" i="56"/>
  <c r="E13" i="53"/>
  <c r="F13" i="53"/>
  <c r="G13" i="53"/>
  <c r="H13" i="53"/>
  <c r="I13" i="53"/>
  <c r="J13" i="53"/>
  <c r="K13" i="53"/>
  <c r="L13" i="53"/>
  <c r="M13" i="53"/>
  <c r="N13" i="53"/>
  <c r="O13" i="53"/>
  <c r="D13" i="53"/>
  <c r="N32" i="57"/>
  <c r="M32" i="57"/>
  <c r="L32" i="57"/>
  <c r="K32" i="57"/>
  <c r="J32" i="57"/>
  <c r="I32" i="57"/>
  <c r="H32" i="57"/>
  <c r="G32" i="57"/>
  <c r="F32" i="57"/>
  <c r="E32" i="57"/>
  <c r="D32" i="57"/>
  <c r="C32" i="57"/>
  <c r="N31" i="57"/>
  <c r="M31" i="57"/>
  <c r="L31" i="57"/>
  <c r="K31" i="57"/>
  <c r="J31" i="57"/>
  <c r="I31" i="57"/>
  <c r="H31" i="57"/>
  <c r="G31" i="57"/>
  <c r="F31" i="57"/>
  <c r="E31" i="57"/>
  <c r="D31" i="57"/>
  <c r="O31" i="57" s="1"/>
  <c r="C31" i="57"/>
  <c r="G8" i="57"/>
  <c r="C8" i="57"/>
  <c r="D8" i="57"/>
  <c r="E8" i="57"/>
  <c r="F8" i="57"/>
  <c r="H8" i="57"/>
  <c r="I8" i="57"/>
  <c r="J8" i="57"/>
  <c r="K8" i="57"/>
  <c r="L8" i="57"/>
  <c r="M8" i="57"/>
  <c r="N8" i="57"/>
  <c r="N7" i="57"/>
  <c r="M7" i="57"/>
  <c r="L7" i="57"/>
  <c r="K7" i="57"/>
  <c r="J7" i="57"/>
  <c r="I7" i="57"/>
  <c r="H7" i="57"/>
  <c r="G7" i="57"/>
  <c r="F7" i="57"/>
  <c r="E7" i="57"/>
  <c r="D7" i="57"/>
  <c r="C7" i="57"/>
  <c r="N6" i="57"/>
  <c r="M6" i="57"/>
  <c r="L6" i="57"/>
  <c r="K6" i="57"/>
  <c r="J6" i="57"/>
  <c r="I6" i="57"/>
  <c r="H6" i="57"/>
  <c r="G6" i="57"/>
  <c r="F6" i="57"/>
  <c r="E6" i="57"/>
  <c r="D6" i="57"/>
  <c r="C6" i="57"/>
  <c r="M4" i="57"/>
  <c r="C4" i="57"/>
  <c r="N4" i="57"/>
  <c r="L4" i="57"/>
  <c r="K4" i="57"/>
  <c r="J4" i="57"/>
  <c r="I4" i="57"/>
  <c r="H4" i="57"/>
  <c r="G4" i="57"/>
  <c r="F4" i="57"/>
  <c r="E4" i="57"/>
  <c r="D4" i="57"/>
  <c r="N5" i="57"/>
  <c r="M5" i="57"/>
  <c r="L5" i="57"/>
  <c r="K5" i="57"/>
  <c r="J5" i="57"/>
  <c r="I5" i="57"/>
  <c r="H5" i="57"/>
  <c r="G5" i="57"/>
  <c r="F5" i="57"/>
  <c r="E5" i="57"/>
  <c r="D5" i="57"/>
  <c r="C5" i="57"/>
  <c r="N10" i="57"/>
  <c r="M10" i="57"/>
  <c r="L10" i="57"/>
  <c r="K10" i="57"/>
  <c r="J10" i="57"/>
  <c r="I10" i="57"/>
  <c r="H10" i="57"/>
  <c r="G10" i="57"/>
  <c r="F10" i="57"/>
  <c r="E10" i="57"/>
  <c r="D10" i="57"/>
  <c r="C10" i="57"/>
  <c r="O5" i="57" l="1"/>
  <c r="O4" i="57"/>
  <c r="N9" i="57"/>
  <c r="M9" i="57"/>
  <c r="K3" i="44"/>
  <c r="D13" i="57"/>
  <c r="E13" i="57"/>
  <c r="F13" i="57"/>
  <c r="G13" i="57"/>
  <c r="H13" i="57"/>
  <c r="I13" i="57"/>
  <c r="J13" i="57"/>
  <c r="K13" i="57"/>
  <c r="L13" i="57"/>
  <c r="M13" i="57"/>
  <c r="N13" i="57"/>
  <c r="D14" i="57"/>
  <c r="E14" i="57"/>
  <c r="F14" i="57"/>
  <c r="G14" i="57"/>
  <c r="H14" i="57"/>
  <c r="I14" i="57"/>
  <c r="J14" i="57"/>
  <c r="K14" i="57"/>
  <c r="L14" i="57"/>
  <c r="M14" i="57"/>
  <c r="N14" i="57"/>
  <c r="D15" i="57"/>
  <c r="E15" i="57"/>
  <c r="F15" i="57"/>
  <c r="G15" i="57"/>
  <c r="H15" i="57"/>
  <c r="I15" i="57"/>
  <c r="J15" i="57"/>
  <c r="K15" i="57"/>
  <c r="L15" i="57"/>
  <c r="M15" i="57"/>
  <c r="N15" i="57"/>
  <c r="C15" i="57"/>
  <c r="C14" i="57"/>
  <c r="C13" i="57"/>
  <c r="N12" i="57"/>
  <c r="M12" i="57"/>
  <c r="L12" i="57"/>
  <c r="K12" i="57"/>
  <c r="J12" i="57"/>
  <c r="I12" i="57"/>
  <c r="H12" i="57"/>
  <c r="G12" i="57"/>
  <c r="F12" i="57"/>
  <c r="E12" i="57"/>
  <c r="D12" i="57"/>
  <c r="C12" i="57"/>
  <c r="P32" i="60"/>
  <c r="C32" i="60"/>
  <c r="B32" i="60"/>
  <c r="A32" i="60"/>
  <c r="P31" i="60"/>
  <c r="C31" i="60"/>
  <c r="B31" i="60"/>
  <c r="A31" i="60"/>
  <c r="P30" i="60"/>
  <c r="C30" i="60"/>
  <c r="B30" i="60"/>
  <c r="A30" i="60"/>
  <c r="P29" i="60"/>
  <c r="C29" i="60"/>
  <c r="B29" i="60"/>
  <c r="A29" i="60"/>
  <c r="P28" i="60"/>
  <c r="C28" i="60"/>
  <c r="B28" i="60"/>
  <c r="A28" i="60"/>
  <c r="P27" i="60"/>
  <c r="C27" i="60"/>
  <c r="B27" i="60"/>
  <c r="A27" i="60"/>
  <c r="P26" i="60"/>
  <c r="C26" i="60"/>
  <c r="B26" i="60"/>
  <c r="A26" i="60"/>
  <c r="P25" i="60"/>
  <c r="C25" i="60"/>
  <c r="B25" i="60"/>
  <c r="A25" i="60"/>
  <c r="P24" i="60"/>
  <c r="C24" i="60"/>
  <c r="B24" i="60"/>
  <c r="A24" i="60"/>
  <c r="P23" i="60"/>
  <c r="C23" i="60"/>
  <c r="B23" i="60"/>
  <c r="A23" i="60"/>
  <c r="P22" i="60"/>
  <c r="C22" i="60"/>
  <c r="B22" i="60"/>
  <c r="A22" i="60"/>
  <c r="P21" i="60"/>
  <c r="C21" i="60"/>
  <c r="B21" i="60"/>
  <c r="A21" i="60"/>
  <c r="P20" i="60"/>
  <c r="C20" i="60"/>
  <c r="B20" i="60"/>
  <c r="A20" i="60"/>
  <c r="P19" i="60"/>
  <c r="C19" i="60"/>
  <c r="B19" i="60"/>
  <c r="A19" i="60"/>
  <c r="P18" i="60"/>
  <c r="C18" i="60"/>
  <c r="B18" i="60"/>
  <c r="A18" i="60"/>
  <c r="P17" i="60"/>
  <c r="C17" i="60"/>
  <c r="B17" i="60"/>
  <c r="A17" i="60"/>
  <c r="P16" i="60"/>
  <c r="C16" i="60"/>
  <c r="B16" i="60"/>
  <c r="A16" i="60"/>
  <c r="P15" i="60"/>
  <c r="C15" i="60"/>
  <c r="B15" i="60"/>
  <c r="A15" i="60"/>
  <c r="P14" i="60"/>
  <c r="C14" i="60"/>
  <c r="B14" i="60"/>
  <c r="A14" i="60"/>
  <c r="P13" i="60"/>
  <c r="C13" i="60"/>
  <c r="B13" i="60"/>
  <c r="A13" i="60"/>
  <c r="P12" i="60"/>
  <c r="C12" i="60"/>
  <c r="B12" i="60"/>
  <c r="A12" i="60"/>
  <c r="P11" i="60"/>
  <c r="C11" i="60"/>
  <c r="B11" i="60"/>
  <c r="A11" i="60"/>
  <c r="P10" i="60"/>
  <c r="C10" i="60"/>
  <c r="B10" i="60"/>
  <c r="A10" i="60"/>
  <c r="P9" i="60"/>
  <c r="C9" i="60"/>
  <c r="B9" i="60"/>
  <c r="A9" i="60"/>
  <c r="P8" i="60"/>
  <c r="C8" i="60"/>
  <c r="B8" i="60"/>
  <c r="A8" i="60"/>
  <c r="P7" i="60"/>
  <c r="C7" i="60"/>
  <c r="B7" i="60"/>
  <c r="A7" i="60"/>
  <c r="P6" i="60"/>
  <c r="C6" i="60"/>
  <c r="B6" i="60"/>
  <c r="A6" i="60"/>
  <c r="P5" i="60"/>
  <c r="C5" i="60"/>
  <c r="B5" i="60"/>
  <c r="A5" i="60"/>
  <c r="P4" i="60"/>
  <c r="C4" i="60"/>
  <c r="B4" i="60"/>
  <c r="A4" i="60"/>
  <c r="P3" i="60"/>
  <c r="C3" i="60"/>
  <c r="B3" i="60"/>
  <c r="A3" i="60"/>
  <c r="P32" i="59"/>
  <c r="C32" i="59"/>
  <c r="B32" i="59"/>
  <c r="A32" i="59"/>
  <c r="P31" i="59"/>
  <c r="C31" i="59"/>
  <c r="B31" i="59"/>
  <c r="A31" i="59"/>
  <c r="P30" i="59"/>
  <c r="C30" i="59"/>
  <c r="B30" i="59"/>
  <c r="A30" i="59"/>
  <c r="P29" i="59"/>
  <c r="C29" i="59"/>
  <c r="B29" i="59"/>
  <c r="A29" i="59"/>
  <c r="P28" i="59"/>
  <c r="C28" i="59"/>
  <c r="B28" i="59"/>
  <c r="A28" i="59"/>
  <c r="P27" i="59"/>
  <c r="C27" i="59"/>
  <c r="B27" i="59"/>
  <c r="A27" i="59"/>
  <c r="P26" i="59"/>
  <c r="C26" i="59"/>
  <c r="B26" i="59"/>
  <c r="A26" i="59"/>
  <c r="P25" i="59"/>
  <c r="C25" i="59"/>
  <c r="B25" i="59"/>
  <c r="A25" i="59"/>
  <c r="P24" i="59"/>
  <c r="C24" i="59"/>
  <c r="B24" i="59"/>
  <c r="A24" i="59"/>
  <c r="P23" i="59"/>
  <c r="C23" i="59"/>
  <c r="B23" i="59"/>
  <c r="A23" i="59"/>
  <c r="P22" i="59"/>
  <c r="C22" i="59"/>
  <c r="B22" i="59"/>
  <c r="A22" i="59"/>
  <c r="P21" i="59"/>
  <c r="C21" i="59"/>
  <c r="B21" i="59"/>
  <c r="A21" i="59"/>
  <c r="P20" i="59"/>
  <c r="C20" i="59"/>
  <c r="B20" i="59"/>
  <c r="A20" i="59"/>
  <c r="P19" i="59"/>
  <c r="C19" i="59"/>
  <c r="B19" i="59"/>
  <c r="A19" i="59"/>
  <c r="P18" i="59"/>
  <c r="C18" i="59"/>
  <c r="B18" i="59"/>
  <c r="A18" i="59"/>
  <c r="P17" i="59"/>
  <c r="C17" i="59"/>
  <c r="B17" i="59"/>
  <c r="A17" i="59"/>
  <c r="P16" i="59"/>
  <c r="C16" i="59"/>
  <c r="B16" i="59"/>
  <c r="A16" i="59"/>
  <c r="P15" i="59"/>
  <c r="C15" i="59"/>
  <c r="B15" i="59"/>
  <c r="A15" i="59"/>
  <c r="P14" i="59"/>
  <c r="C14" i="59"/>
  <c r="B14" i="59"/>
  <c r="A14" i="59"/>
  <c r="P13" i="59"/>
  <c r="C13" i="59"/>
  <c r="B13" i="59"/>
  <c r="A13" i="59"/>
  <c r="P12" i="59"/>
  <c r="C12" i="59"/>
  <c r="B12" i="59"/>
  <c r="A12" i="59"/>
  <c r="P11" i="59"/>
  <c r="C11" i="59"/>
  <c r="B11" i="59"/>
  <c r="A11" i="59"/>
  <c r="P10" i="59"/>
  <c r="C10" i="59"/>
  <c r="B10" i="59"/>
  <c r="A10" i="59"/>
  <c r="P9" i="59"/>
  <c r="C9" i="59"/>
  <c r="B9" i="59"/>
  <c r="A9" i="59"/>
  <c r="P8" i="59"/>
  <c r="C8" i="59"/>
  <c r="B8" i="59"/>
  <c r="A8" i="59"/>
  <c r="P7" i="59"/>
  <c r="C7" i="59"/>
  <c r="B7" i="59"/>
  <c r="A7" i="59"/>
  <c r="P6" i="59"/>
  <c r="C6" i="59"/>
  <c r="B6" i="59"/>
  <c r="A6" i="59"/>
  <c r="P5" i="59"/>
  <c r="C5" i="59"/>
  <c r="B5" i="59"/>
  <c r="A5" i="59"/>
  <c r="P4" i="59"/>
  <c r="C4" i="59"/>
  <c r="B4" i="59"/>
  <c r="A4" i="59"/>
  <c r="P3" i="59"/>
  <c r="C3" i="59"/>
  <c r="B3" i="59"/>
  <c r="A3" i="59"/>
  <c r="P32" i="58"/>
  <c r="C32" i="58"/>
  <c r="B32" i="58"/>
  <c r="A32" i="58"/>
  <c r="P31" i="58"/>
  <c r="C31" i="58"/>
  <c r="B31" i="58"/>
  <c r="A31" i="58"/>
  <c r="P30" i="58"/>
  <c r="C30" i="58"/>
  <c r="B30" i="58"/>
  <c r="A30" i="58"/>
  <c r="P29" i="58"/>
  <c r="C29" i="58"/>
  <c r="B29" i="58"/>
  <c r="A29" i="58"/>
  <c r="P28" i="58"/>
  <c r="C28" i="58"/>
  <c r="B28" i="58"/>
  <c r="A28" i="58"/>
  <c r="P27" i="58"/>
  <c r="C27" i="58"/>
  <c r="B27" i="58"/>
  <c r="A27" i="58"/>
  <c r="P26" i="58"/>
  <c r="C26" i="58"/>
  <c r="B26" i="58"/>
  <c r="A26" i="58"/>
  <c r="P25" i="58"/>
  <c r="C25" i="58"/>
  <c r="B25" i="58"/>
  <c r="A25" i="58"/>
  <c r="P24" i="58"/>
  <c r="C24" i="58"/>
  <c r="B24" i="58"/>
  <c r="A24" i="58"/>
  <c r="P23" i="58"/>
  <c r="C23" i="58"/>
  <c r="B23" i="58"/>
  <c r="A23" i="58"/>
  <c r="P22" i="58"/>
  <c r="C22" i="58"/>
  <c r="B22" i="58"/>
  <c r="A22" i="58"/>
  <c r="P21" i="58"/>
  <c r="C21" i="58"/>
  <c r="B21" i="58"/>
  <c r="A21" i="58"/>
  <c r="P20" i="58"/>
  <c r="C20" i="58"/>
  <c r="B20" i="58"/>
  <c r="A20" i="58"/>
  <c r="P19" i="58"/>
  <c r="C19" i="58"/>
  <c r="B19" i="58"/>
  <c r="A19" i="58"/>
  <c r="P18" i="58"/>
  <c r="C18" i="58"/>
  <c r="B18" i="58"/>
  <c r="A18" i="58"/>
  <c r="P17" i="58"/>
  <c r="C17" i="58"/>
  <c r="B17" i="58"/>
  <c r="A17" i="58"/>
  <c r="P16" i="58"/>
  <c r="C16" i="58"/>
  <c r="B16" i="58"/>
  <c r="A16" i="58"/>
  <c r="P15" i="58"/>
  <c r="C15" i="58"/>
  <c r="B15" i="58"/>
  <c r="A15" i="58"/>
  <c r="P14" i="58"/>
  <c r="C14" i="58"/>
  <c r="B14" i="58"/>
  <c r="A14" i="58"/>
  <c r="P13" i="58"/>
  <c r="C13" i="58"/>
  <c r="B13" i="58"/>
  <c r="A13" i="58"/>
  <c r="P12" i="58"/>
  <c r="C12" i="58"/>
  <c r="B12" i="58"/>
  <c r="A12" i="58"/>
  <c r="P11" i="58"/>
  <c r="C11" i="58"/>
  <c r="B11" i="58"/>
  <c r="A11" i="58"/>
  <c r="P10" i="58"/>
  <c r="C10" i="58"/>
  <c r="B10" i="58"/>
  <c r="A10" i="58"/>
  <c r="P9" i="58"/>
  <c r="C9" i="58"/>
  <c r="B9" i="58"/>
  <c r="A9" i="58"/>
  <c r="P8" i="58"/>
  <c r="C8" i="58"/>
  <c r="B8" i="58"/>
  <c r="A8" i="58"/>
  <c r="P7" i="58"/>
  <c r="C7" i="58"/>
  <c r="B7" i="58"/>
  <c r="A7" i="58"/>
  <c r="P6" i="58"/>
  <c r="C6" i="58"/>
  <c r="B6" i="58"/>
  <c r="A6" i="58"/>
  <c r="P5" i="58"/>
  <c r="C5" i="58"/>
  <c r="B5" i="58"/>
  <c r="A5" i="58"/>
  <c r="P4" i="58"/>
  <c r="C4" i="58"/>
  <c r="B4" i="58"/>
  <c r="A4" i="58"/>
  <c r="P3" i="58"/>
  <c r="C3" i="58"/>
  <c r="B3" i="58"/>
  <c r="A3" i="58"/>
  <c r="P13" i="1"/>
  <c r="N48" i="57"/>
  <c r="M48" i="57"/>
  <c r="L48" i="57"/>
  <c r="K48" i="57"/>
  <c r="J48" i="57"/>
  <c r="I48" i="57"/>
  <c r="H48" i="57"/>
  <c r="G48" i="57"/>
  <c r="F48" i="57"/>
  <c r="E48" i="57"/>
  <c r="D48" i="57"/>
  <c r="C48" i="57"/>
  <c r="N47" i="57"/>
  <c r="M47" i="57"/>
  <c r="L47" i="57"/>
  <c r="K47" i="57"/>
  <c r="J47" i="57"/>
  <c r="I47" i="57"/>
  <c r="H47" i="57"/>
  <c r="G47" i="57"/>
  <c r="F47" i="57"/>
  <c r="E47" i="57"/>
  <c r="D47" i="57"/>
  <c r="C47" i="57"/>
  <c r="N46" i="57"/>
  <c r="M46" i="57"/>
  <c r="L46" i="57"/>
  <c r="K46" i="57"/>
  <c r="J46" i="57"/>
  <c r="I46" i="57"/>
  <c r="H46" i="57"/>
  <c r="G46" i="57"/>
  <c r="F46" i="57"/>
  <c r="E46" i="57"/>
  <c r="D46" i="57"/>
  <c r="C46" i="57"/>
  <c r="N45" i="57"/>
  <c r="M45" i="57"/>
  <c r="L45" i="57"/>
  <c r="K45" i="57"/>
  <c r="J45" i="57"/>
  <c r="I45" i="57"/>
  <c r="H45" i="57"/>
  <c r="G45" i="57"/>
  <c r="F45" i="57"/>
  <c r="E45" i="57"/>
  <c r="D45" i="57"/>
  <c r="C45" i="57"/>
  <c r="N44" i="57"/>
  <c r="M44" i="57"/>
  <c r="L44" i="57"/>
  <c r="K44" i="57"/>
  <c r="J44" i="57"/>
  <c r="I44" i="57"/>
  <c r="H44" i="57"/>
  <c r="G44" i="57"/>
  <c r="F44" i="57"/>
  <c r="E44" i="57"/>
  <c r="D44" i="57"/>
  <c r="C44" i="57"/>
  <c r="N43" i="57"/>
  <c r="M43" i="57"/>
  <c r="L43" i="57"/>
  <c r="K43" i="57"/>
  <c r="J43" i="57"/>
  <c r="I43" i="57"/>
  <c r="H43" i="57"/>
  <c r="G43" i="57"/>
  <c r="F43" i="57"/>
  <c r="E43" i="57"/>
  <c r="D43" i="57"/>
  <c r="N42" i="57"/>
  <c r="M42" i="57"/>
  <c r="L42" i="57"/>
  <c r="K42" i="57"/>
  <c r="J42" i="57"/>
  <c r="I42" i="57"/>
  <c r="H42" i="57"/>
  <c r="G42" i="57"/>
  <c r="F42" i="57"/>
  <c r="E42" i="57"/>
  <c r="D42" i="57"/>
  <c r="C42" i="57"/>
  <c r="C43" i="57"/>
  <c r="D41" i="57"/>
  <c r="E41" i="57"/>
  <c r="F41" i="57"/>
  <c r="G41" i="57"/>
  <c r="H41" i="57"/>
  <c r="I41" i="57"/>
  <c r="J41" i="57"/>
  <c r="K41" i="57"/>
  <c r="L41" i="57"/>
  <c r="M41" i="57"/>
  <c r="N41" i="57"/>
  <c r="C41" i="57"/>
  <c r="N40" i="57"/>
  <c r="M40" i="57"/>
  <c r="L40" i="57"/>
  <c r="K40" i="57"/>
  <c r="J40" i="57"/>
  <c r="I40" i="57"/>
  <c r="H40" i="57"/>
  <c r="G40" i="57"/>
  <c r="F40" i="57"/>
  <c r="E40" i="57"/>
  <c r="D40" i="57"/>
  <c r="N39" i="57"/>
  <c r="M39" i="57"/>
  <c r="L39" i="57"/>
  <c r="K39" i="57"/>
  <c r="J39" i="57"/>
  <c r="I39" i="57"/>
  <c r="H39" i="57"/>
  <c r="G39" i="57"/>
  <c r="F39" i="57"/>
  <c r="E39" i="57"/>
  <c r="D39" i="57"/>
  <c r="N38" i="57"/>
  <c r="M38" i="57"/>
  <c r="L38" i="57"/>
  <c r="K38" i="57"/>
  <c r="J38" i="57"/>
  <c r="I38" i="57"/>
  <c r="H38" i="57"/>
  <c r="G38" i="57"/>
  <c r="F38" i="57"/>
  <c r="E38" i="57"/>
  <c r="D38" i="57"/>
  <c r="N37" i="57"/>
  <c r="M37" i="57"/>
  <c r="L37" i="57"/>
  <c r="K37" i="57"/>
  <c r="J37" i="57"/>
  <c r="I37" i="57"/>
  <c r="H37" i="57"/>
  <c r="G37" i="57"/>
  <c r="F37" i="57"/>
  <c r="E37" i="57"/>
  <c r="D37" i="57"/>
  <c r="C37" i="57"/>
  <c r="C40" i="57"/>
  <c r="C39" i="57"/>
  <c r="C38" i="57"/>
  <c r="N36" i="57"/>
  <c r="M36" i="57"/>
  <c r="L36" i="57"/>
  <c r="K36" i="57"/>
  <c r="J36" i="57"/>
  <c r="I36" i="57"/>
  <c r="H36" i="57"/>
  <c r="G36" i="57"/>
  <c r="F36" i="57"/>
  <c r="E36" i="57"/>
  <c r="D36" i="57"/>
  <c r="N35" i="57"/>
  <c r="M35" i="57"/>
  <c r="L35" i="57"/>
  <c r="K35" i="57"/>
  <c r="J35" i="57"/>
  <c r="I35" i="57"/>
  <c r="H35" i="57"/>
  <c r="G35" i="57"/>
  <c r="F35" i="57"/>
  <c r="E35" i="57"/>
  <c r="D35" i="57"/>
  <c r="N34" i="57"/>
  <c r="M34" i="57"/>
  <c r="L34" i="57"/>
  <c r="K34" i="57"/>
  <c r="J34" i="57"/>
  <c r="I34" i="57"/>
  <c r="H34" i="57"/>
  <c r="G34" i="57"/>
  <c r="F34" i="57"/>
  <c r="E34" i="57"/>
  <c r="D34" i="57"/>
  <c r="N33" i="57"/>
  <c r="M33" i="57"/>
  <c r="L33" i="57"/>
  <c r="K33" i="57"/>
  <c r="J33" i="57"/>
  <c r="I33" i="57"/>
  <c r="H33" i="57"/>
  <c r="G33" i="57"/>
  <c r="F33" i="57"/>
  <c r="E33" i="57"/>
  <c r="D33" i="57"/>
  <c r="C33" i="57"/>
  <c r="C36" i="57"/>
  <c r="C35" i="57"/>
  <c r="C34" i="57"/>
  <c r="O13" i="57" l="1"/>
  <c r="O14" i="57"/>
  <c r="O12" i="57"/>
  <c r="O39" i="57"/>
  <c r="P33" i="60"/>
  <c r="P33" i="59"/>
  <c r="P33" i="58"/>
  <c r="C30" i="57"/>
  <c r="N30" i="57"/>
  <c r="M30" i="57"/>
  <c r="L30" i="57"/>
  <c r="K30" i="57"/>
  <c r="J30" i="57"/>
  <c r="I30" i="57"/>
  <c r="H30" i="57"/>
  <c r="G30" i="57"/>
  <c r="F30" i="57"/>
  <c r="E30" i="57"/>
  <c r="D30" i="57"/>
  <c r="N29" i="57"/>
  <c r="M29" i="57"/>
  <c r="L29" i="57"/>
  <c r="K29" i="57"/>
  <c r="J29" i="57"/>
  <c r="I29" i="57"/>
  <c r="H29" i="57"/>
  <c r="G29" i="57"/>
  <c r="F29" i="57"/>
  <c r="E29" i="57"/>
  <c r="D29" i="57"/>
  <c r="C29" i="57"/>
  <c r="N28" i="57"/>
  <c r="M28" i="57"/>
  <c r="L28" i="57"/>
  <c r="K28" i="57"/>
  <c r="J28" i="57"/>
  <c r="I28" i="57"/>
  <c r="H28" i="57"/>
  <c r="G28" i="57"/>
  <c r="F28" i="57"/>
  <c r="E28" i="57"/>
  <c r="D28" i="57"/>
  <c r="C28" i="57"/>
  <c r="N27" i="57"/>
  <c r="M27" i="57"/>
  <c r="L27" i="57"/>
  <c r="K27" i="57"/>
  <c r="J27" i="57"/>
  <c r="I27" i="57"/>
  <c r="H27" i="57"/>
  <c r="G27" i="57"/>
  <c r="F27" i="57"/>
  <c r="E27" i="57"/>
  <c r="D27" i="57"/>
  <c r="C27" i="57"/>
  <c r="C24" i="57"/>
  <c r="N24" i="57"/>
  <c r="M24" i="57"/>
  <c r="L24" i="57"/>
  <c r="K24" i="57"/>
  <c r="J24" i="57"/>
  <c r="I24" i="57"/>
  <c r="H24" i="57"/>
  <c r="G24" i="57"/>
  <c r="F24" i="57"/>
  <c r="E24" i="57"/>
  <c r="D24" i="57"/>
  <c r="N23" i="57"/>
  <c r="M23" i="57"/>
  <c r="L23" i="57"/>
  <c r="K23" i="57"/>
  <c r="J23" i="57"/>
  <c r="I23" i="57"/>
  <c r="H23" i="57"/>
  <c r="G23" i="57"/>
  <c r="F23" i="57"/>
  <c r="E23" i="57"/>
  <c r="D23" i="57"/>
  <c r="C23" i="57"/>
  <c r="C22" i="57"/>
  <c r="N22" i="57"/>
  <c r="M22" i="57"/>
  <c r="L22" i="57"/>
  <c r="K22" i="57"/>
  <c r="J22" i="57"/>
  <c r="I22" i="57"/>
  <c r="H22" i="57"/>
  <c r="G22" i="57"/>
  <c r="F22" i="57"/>
  <c r="E22" i="57"/>
  <c r="D22" i="57"/>
  <c r="N21" i="57"/>
  <c r="M21" i="57"/>
  <c r="L21" i="57"/>
  <c r="K21" i="57"/>
  <c r="J21" i="57"/>
  <c r="I21" i="57"/>
  <c r="H21" i="57"/>
  <c r="G21" i="57"/>
  <c r="F21" i="57"/>
  <c r="E21" i="57"/>
  <c r="D21" i="57"/>
  <c r="C21" i="57"/>
  <c r="N20" i="57"/>
  <c r="M20" i="57"/>
  <c r="L20" i="57"/>
  <c r="K20" i="57"/>
  <c r="J20" i="57"/>
  <c r="I20" i="57"/>
  <c r="H20" i="57"/>
  <c r="G20" i="57"/>
  <c r="F20" i="57"/>
  <c r="E20" i="57"/>
  <c r="D20" i="57"/>
  <c r="C20" i="57"/>
  <c r="N19" i="57"/>
  <c r="M19" i="57"/>
  <c r="L19" i="57"/>
  <c r="K19" i="57"/>
  <c r="J19" i="57"/>
  <c r="I19" i="57"/>
  <c r="H19" i="57"/>
  <c r="G19" i="57"/>
  <c r="F19" i="57"/>
  <c r="E19" i="57"/>
  <c r="D19" i="57"/>
  <c r="C19" i="57"/>
  <c r="N18" i="57"/>
  <c r="M18" i="57"/>
  <c r="L18" i="57"/>
  <c r="K18" i="57"/>
  <c r="J18" i="57"/>
  <c r="I18" i="57"/>
  <c r="H18" i="57"/>
  <c r="G18" i="57"/>
  <c r="F18" i="57"/>
  <c r="E18" i="57"/>
  <c r="D18" i="57"/>
  <c r="C18" i="57"/>
  <c r="N17" i="57"/>
  <c r="M17" i="57"/>
  <c r="L17" i="57"/>
  <c r="K17" i="57"/>
  <c r="J17" i="57"/>
  <c r="I17" i="57"/>
  <c r="H17" i="57"/>
  <c r="G17" i="57"/>
  <c r="F17" i="57"/>
  <c r="E17" i="57"/>
  <c r="D17" i="57"/>
  <c r="C17" i="57"/>
  <c r="N16" i="57"/>
  <c r="M16" i="57"/>
  <c r="L16" i="57"/>
  <c r="K16" i="57"/>
  <c r="J16" i="57"/>
  <c r="I16" i="57"/>
  <c r="H16" i="57"/>
  <c r="G16" i="57"/>
  <c r="F16" i="57"/>
  <c r="E16" i="57"/>
  <c r="D16" i="57"/>
  <c r="C16" i="57"/>
  <c r="N26" i="57"/>
  <c r="M26" i="57"/>
  <c r="L26" i="57"/>
  <c r="K26" i="57"/>
  <c r="J26" i="57"/>
  <c r="I26" i="57"/>
  <c r="H26" i="57"/>
  <c r="G26" i="57"/>
  <c r="F26" i="57"/>
  <c r="E26" i="57"/>
  <c r="D26" i="57"/>
  <c r="D25" i="57"/>
  <c r="C26" i="57"/>
  <c r="E25" i="57"/>
  <c r="F25" i="57"/>
  <c r="G25" i="57"/>
  <c r="H25" i="57"/>
  <c r="I25" i="57"/>
  <c r="J25" i="57"/>
  <c r="K25" i="57"/>
  <c r="L25" i="57"/>
  <c r="M25" i="57"/>
  <c r="N25" i="57"/>
  <c r="C25" i="57"/>
  <c r="O33" i="57"/>
  <c r="O34" i="57"/>
  <c r="O35" i="57"/>
  <c r="O36" i="57"/>
  <c r="O37" i="57"/>
  <c r="O38" i="57"/>
  <c r="O40" i="57"/>
  <c r="O41" i="57"/>
  <c r="O42" i="57"/>
  <c r="O43" i="57"/>
  <c r="O44" i="57"/>
  <c r="O45" i="57"/>
  <c r="O46" i="57"/>
  <c r="O47" i="57"/>
  <c r="O48" i="57"/>
  <c r="O15" i="57"/>
  <c r="C32" i="45"/>
  <c r="B32" i="45"/>
  <c r="A32" i="45"/>
  <c r="C31" i="45"/>
  <c r="B31" i="45"/>
  <c r="A31" i="45"/>
  <c r="C30" i="45"/>
  <c r="B30" i="45"/>
  <c r="A30" i="45"/>
  <c r="C29" i="45"/>
  <c r="B29" i="45"/>
  <c r="A29" i="45"/>
  <c r="C28" i="45"/>
  <c r="B28" i="45"/>
  <c r="A28" i="45"/>
  <c r="C27" i="45"/>
  <c r="B27" i="45"/>
  <c r="A27" i="45"/>
  <c r="C26" i="45"/>
  <c r="B26" i="45"/>
  <c r="A26" i="45"/>
  <c r="C25" i="45"/>
  <c r="B25" i="45"/>
  <c r="A25" i="45"/>
  <c r="C24" i="45"/>
  <c r="B24" i="45"/>
  <c r="A24" i="45"/>
  <c r="C23" i="45"/>
  <c r="B23" i="45"/>
  <c r="A23" i="45"/>
  <c r="C22" i="45"/>
  <c r="B22" i="45"/>
  <c r="A22" i="45"/>
  <c r="C21" i="45"/>
  <c r="B21" i="45"/>
  <c r="A21" i="45"/>
  <c r="C20" i="45"/>
  <c r="B20" i="45"/>
  <c r="A20" i="45"/>
  <c r="C19" i="45"/>
  <c r="B19" i="45"/>
  <c r="A19" i="45"/>
  <c r="C18" i="45"/>
  <c r="B18" i="45"/>
  <c r="A18" i="45"/>
  <c r="C17" i="45"/>
  <c r="B17" i="45"/>
  <c r="A17" i="45"/>
  <c r="C16" i="45"/>
  <c r="B16" i="45"/>
  <c r="A16" i="45"/>
  <c r="C15" i="45"/>
  <c r="B15" i="45"/>
  <c r="A15" i="45"/>
  <c r="C14" i="45"/>
  <c r="B14" i="45"/>
  <c r="A14" i="45"/>
  <c r="C13" i="45"/>
  <c r="B13" i="45"/>
  <c r="A13" i="45"/>
  <c r="C12" i="45"/>
  <c r="B12" i="45"/>
  <c r="A12" i="45"/>
  <c r="C11" i="45"/>
  <c r="B11" i="45"/>
  <c r="A11" i="45"/>
  <c r="C10" i="45"/>
  <c r="B10" i="45"/>
  <c r="A10" i="45"/>
  <c r="C9" i="45"/>
  <c r="B9" i="45"/>
  <c r="A9" i="45"/>
  <c r="C8" i="45"/>
  <c r="B8" i="45"/>
  <c r="A8" i="45"/>
  <c r="C7" i="45"/>
  <c r="B7" i="45"/>
  <c r="A7" i="45"/>
  <c r="C6" i="45"/>
  <c r="B6" i="45"/>
  <c r="A6" i="45"/>
  <c r="C5" i="45"/>
  <c r="B5" i="45"/>
  <c r="A5" i="45"/>
  <c r="C4" i="45"/>
  <c r="B4" i="45"/>
  <c r="A4" i="45"/>
  <c r="C3" i="45"/>
  <c r="B3" i="45"/>
  <c r="A3" i="45"/>
  <c r="D3" i="57"/>
  <c r="E3" i="57"/>
  <c r="F3" i="57"/>
  <c r="G3" i="57"/>
  <c r="H3" i="57"/>
  <c r="I3" i="57"/>
  <c r="J3" i="57"/>
  <c r="K3" i="57"/>
  <c r="L3" i="57"/>
  <c r="M3" i="57"/>
  <c r="N3" i="57"/>
  <c r="C3" i="57"/>
  <c r="O32" i="57" l="1"/>
  <c r="O3" i="57"/>
  <c r="O30" i="57"/>
  <c r="O29" i="57"/>
  <c r="O28" i="57"/>
  <c r="O27" i="57"/>
  <c r="O24" i="57"/>
  <c r="O23" i="57"/>
  <c r="O22" i="57"/>
  <c r="O19" i="57"/>
  <c r="O20" i="57"/>
  <c r="O17" i="57"/>
  <c r="O18" i="57"/>
  <c r="O21" i="57"/>
  <c r="O16" i="57"/>
  <c r="O25" i="57"/>
  <c r="O26" i="57"/>
  <c r="P12" i="56"/>
  <c r="A12" i="56"/>
  <c r="P11" i="56"/>
  <c r="A11" i="56"/>
  <c r="P10" i="56"/>
  <c r="A10" i="56"/>
  <c r="P9" i="56"/>
  <c r="A9" i="56"/>
  <c r="P8" i="56"/>
  <c r="A8" i="56"/>
  <c r="P7" i="56"/>
  <c r="A7" i="56"/>
  <c r="P6" i="56"/>
  <c r="A6" i="56"/>
  <c r="P5" i="56"/>
  <c r="A5" i="56"/>
  <c r="P4" i="56"/>
  <c r="A4" i="56"/>
  <c r="P3" i="56"/>
  <c r="A3" i="56"/>
  <c r="P12" i="55"/>
  <c r="A12" i="55"/>
  <c r="P11" i="55"/>
  <c r="A11" i="55"/>
  <c r="P10" i="55"/>
  <c r="A10" i="55"/>
  <c r="P9" i="55"/>
  <c r="A9" i="55"/>
  <c r="P8" i="55"/>
  <c r="A8" i="55"/>
  <c r="P7" i="55"/>
  <c r="A7" i="55"/>
  <c r="P6" i="55"/>
  <c r="A6" i="55"/>
  <c r="P5" i="55"/>
  <c r="A5" i="55"/>
  <c r="P4" i="55"/>
  <c r="A4" i="55"/>
  <c r="P3" i="55"/>
  <c r="A3" i="55"/>
  <c r="P12" i="54"/>
  <c r="A12" i="54"/>
  <c r="P11" i="54"/>
  <c r="A11" i="54"/>
  <c r="P10" i="54"/>
  <c r="A10" i="54"/>
  <c r="P9" i="54"/>
  <c r="A9" i="54"/>
  <c r="P8" i="54"/>
  <c r="A8" i="54"/>
  <c r="P7" i="54"/>
  <c r="A7" i="54"/>
  <c r="P6" i="54"/>
  <c r="A6" i="54"/>
  <c r="P5" i="54"/>
  <c r="A5" i="54"/>
  <c r="P4" i="54"/>
  <c r="A4" i="54"/>
  <c r="P3" i="54"/>
  <c r="A3" i="54"/>
  <c r="P12" i="53"/>
  <c r="A12" i="53"/>
  <c r="P11" i="53"/>
  <c r="A11" i="53"/>
  <c r="P10" i="53"/>
  <c r="A10" i="53"/>
  <c r="P9" i="53"/>
  <c r="A9" i="53"/>
  <c r="P8" i="53"/>
  <c r="A8" i="53"/>
  <c r="P7" i="53"/>
  <c r="A7" i="53"/>
  <c r="P6" i="53"/>
  <c r="A6" i="53"/>
  <c r="P5" i="53"/>
  <c r="A5" i="53"/>
  <c r="P4" i="53"/>
  <c r="A4" i="53"/>
  <c r="P3" i="53"/>
  <c r="A3" i="53"/>
  <c r="O12" i="52"/>
  <c r="A12" i="52"/>
  <c r="O11" i="52"/>
  <c r="A11" i="52"/>
  <c r="O10" i="52"/>
  <c r="A10" i="52"/>
  <c r="O9" i="52"/>
  <c r="A9" i="52"/>
  <c r="O8" i="52"/>
  <c r="A8" i="52"/>
  <c r="O7" i="52"/>
  <c r="A7" i="52"/>
  <c r="O6" i="52"/>
  <c r="A6" i="52"/>
  <c r="O5" i="52"/>
  <c r="A5" i="52"/>
  <c r="O4" i="52"/>
  <c r="A4" i="52"/>
  <c r="O3" i="52"/>
  <c r="A3" i="52"/>
  <c r="P12" i="51"/>
  <c r="A12" i="51"/>
  <c r="P11" i="51"/>
  <c r="A11" i="51"/>
  <c r="P10" i="51"/>
  <c r="A10" i="51"/>
  <c r="P9" i="51"/>
  <c r="A9" i="51"/>
  <c r="P8" i="51"/>
  <c r="A8" i="51"/>
  <c r="P7" i="51"/>
  <c r="A7" i="51"/>
  <c r="P6" i="51"/>
  <c r="A6" i="51"/>
  <c r="P5" i="51"/>
  <c r="A5" i="51"/>
  <c r="P4" i="51"/>
  <c r="A4" i="51"/>
  <c r="P3" i="51"/>
  <c r="A3" i="51"/>
  <c r="O6" i="50"/>
  <c r="A6" i="50"/>
  <c r="O5" i="50"/>
  <c r="A5" i="50"/>
  <c r="O4" i="50"/>
  <c r="A4" i="50"/>
  <c r="O3" i="50"/>
  <c r="A3" i="50"/>
  <c r="P12" i="49"/>
  <c r="A12" i="49"/>
  <c r="P11" i="49"/>
  <c r="A11" i="49"/>
  <c r="P10" i="49"/>
  <c r="A10" i="49"/>
  <c r="P9" i="49"/>
  <c r="A9" i="49"/>
  <c r="P8" i="49"/>
  <c r="A8" i="49"/>
  <c r="P7" i="49"/>
  <c r="A7" i="49"/>
  <c r="P6" i="49"/>
  <c r="A6" i="49"/>
  <c r="P5" i="49"/>
  <c r="A5" i="49"/>
  <c r="P4" i="49"/>
  <c r="A4" i="49"/>
  <c r="P3" i="49"/>
  <c r="A3" i="49"/>
  <c r="P12" i="48"/>
  <c r="A12" i="48"/>
  <c r="P11" i="48"/>
  <c r="A11" i="48"/>
  <c r="P10" i="48"/>
  <c r="A10" i="48"/>
  <c r="P9" i="48"/>
  <c r="A9" i="48"/>
  <c r="P8" i="48"/>
  <c r="A8" i="48"/>
  <c r="P7" i="48"/>
  <c r="A7" i="48"/>
  <c r="P6" i="48"/>
  <c r="A6" i="48"/>
  <c r="P5" i="48"/>
  <c r="A5" i="48"/>
  <c r="P4" i="48"/>
  <c r="A4" i="48"/>
  <c r="P3" i="48"/>
  <c r="A3" i="48"/>
  <c r="P12" i="47"/>
  <c r="A12" i="47"/>
  <c r="A11" i="47"/>
  <c r="A10" i="47"/>
  <c r="A9" i="47"/>
  <c r="P8" i="47"/>
  <c r="A8" i="47"/>
  <c r="A7" i="47"/>
  <c r="A6" i="47"/>
  <c r="A5" i="47"/>
  <c r="P4" i="47"/>
  <c r="A4" i="47"/>
  <c r="A3" i="47"/>
  <c r="P13" i="56" l="1"/>
  <c r="P13" i="53"/>
  <c r="P13" i="55"/>
  <c r="P13" i="54"/>
  <c r="P13" i="51"/>
  <c r="O13" i="52"/>
  <c r="O7" i="50"/>
  <c r="P13" i="49"/>
  <c r="P13" i="48"/>
  <c r="P3" i="47"/>
  <c r="P7" i="47"/>
  <c r="P11" i="47"/>
  <c r="P6" i="47"/>
  <c r="P10" i="47"/>
  <c r="P5" i="47"/>
  <c r="P9" i="47"/>
  <c r="P13" i="47" l="1"/>
  <c r="B3" i="44"/>
  <c r="B4" i="44"/>
  <c r="B5" i="44"/>
  <c r="B6" i="44"/>
  <c r="B7" i="44"/>
  <c r="B8" i="44"/>
  <c r="B9" i="44"/>
  <c r="B10" i="44"/>
  <c r="B11" i="44"/>
  <c r="B12" i="44"/>
  <c r="B13" i="44"/>
  <c r="B14" i="44"/>
  <c r="B15" i="44"/>
  <c r="B16" i="44"/>
  <c r="B17" i="44"/>
  <c r="B18" i="44"/>
  <c r="B19" i="44"/>
  <c r="B20" i="44"/>
  <c r="B21" i="44"/>
  <c r="B22" i="44"/>
  <c r="B23" i="44"/>
  <c r="B24" i="44"/>
  <c r="B25" i="44"/>
  <c r="B26" i="44"/>
  <c r="B27" i="44"/>
  <c r="B28" i="44"/>
  <c r="B29" i="44"/>
  <c r="B30" i="44"/>
  <c r="B31" i="44"/>
  <c r="B32" i="44"/>
  <c r="B3" i="41"/>
  <c r="B4" i="41"/>
  <c r="B5" i="41"/>
  <c r="B6" i="41"/>
  <c r="B7" i="41"/>
  <c r="B8" i="41"/>
  <c r="B9" i="41"/>
  <c r="B10" i="41"/>
  <c r="B11" i="41"/>
  <c r="B12" i="41"/>
  <c r="B13" i="41"/>
  <c r="B14" i="41"/>
  <c r="B15" i="41"/>
  <c r="B16" i="41"/>
  <c r="B17" i="41"/>
  <c r="B18" i="41"/>
  <c r="B19" i="41"/>
  <c r="B20" i="41"/>
  <c r="B21" i="41"/>
  <c r="B22" i="41"/>
  <c r="B23" i="41"/>
  <c r="B24" i="41"/>
  <c r="B25" i="41"/>
  <c r="B26" i="41"/>
  <c r="B27" i="41"/>
  <c r="B28" i="41"/>
  <c r="B29" i="41"/>
  <c r="B30" i="41"/>
  <c r="B31" i="41"/>
  <c r="B32" i="41"/>
  <c r="B3" i="40"/>
  <c r="B4" i="40"/>
  <c r="B5" i="40"/>
  <c r="B6" i="40"/>
  <c r="B7" i="40"/>
  <c r="B8" i="40"/>
  <c r="B9" i="40"/>
  <c r="B10" i="40"/>
  <c r="B11" i="40"/>
  <c r="B12" i="40"/>
  <c r="B13" i="40"/>
  <c r="B14" i="40"/>
  <c r="B15" i="40"/>
  <c r="B16" i="40"/>
  <c r="B17" i="40"/>
  <c r="B18" i="40"/>
  <c r="B19" i="40"/>
  <c r="B20" i="40"/>
  <c r="B21" i="40"/>
  <c r="B22" i="40"/>
  <c r="B23" i="40"/>
  <c r="B24" i="40"/>
  <c r="B25" i="40"/>
  <c r="B26" i="40"/>
  <c r="B27" i="40"/>
  <c r="B28" i="40"/>
  <c r="B29" i="40"/>
  <c r="B30" i="40"/>
  <c r="B31" i="40"/>
  <c r="B32" i="40"/>
  <c r="B3" i="38"/>
  <c r="B4" i="38"/>
  <c r="B5" i="38"/>
  <c r="B6" i="38"/>
  <c r="B7" i="38"/>
  <c r="B8" i="38"/>
  <c r="B9" i="38"/>
  <c r="B10" i="38"/>
  <c r="B11" i="38"/>
  <c r="B12" i="38"/>
  <c r="B13" i="38"/>
  <c r="B14" i="38"/>
  <c r="B15" i="38"/>
  <c r="B16" i="38"/>
  <c r="B17" i="38"/>
  <c r="B18" i="38"/>
  <c r="B19" i="38"/>
  <c r="B20" i="38"/>
  <c r="B21" i="38"/>
  <c r="B22" i="38"/>
  <c r="B23" i="38"/>
  <c r="B24" i="38"/>
  <c r="B25" i="38"/>
  <c r="B26" i="38"/>
  <c r="B27" i="38"/>
  <c r="B28" i="38"/>
  <c r="B29" i="38"/>
  <c r="B30" i="38"/>
  <c r="B31" i="38"/>
  <c r="B32" i="38"/>
  <c r="B3" i="43"/>
  <c r="B4" i="43"/>
  <c r="B5" i="43"/>
  <c r="B6" i="43"/>
  <c r="B7" i="43"/>
  <c r="B8" i="43"/>
  <c r="B9" i="43"/>
  <c r="B10" i="43"/>
  <c r="B11" i="43"/>
  <c r="B12" i="43"/>
  <c r="B13" i="43"/>
  <c r="B14" i="43"/>
  <c r="B15" i="43"/>
  <c r="B16" i="43"/>
  <c r="B17" i="43"/>
  <c r="B18" i="43"/>
  <c r="B19" i="43"/>
  <c r="B20" i="43"/>
  <c r="B21" i="43"/>
  <c r="B22" i="43"/>
  <c r="B23" i="43"/>
  <c r="B24" i="43"/>
  <c r="B25" i="43"/>
  <c r="B26" i="43"/>
  <c r="B27" i="43"/>
  <c r="B28" i="43"/>
  <c r="B29" i="43"/>
  <c r="B30" i="43"/>
  <c r="B31" i="43"/>
  <c r="B32" i="43"/>
  <c r="A4" i="37"/>
  <c r="A5" i="37"/>
  <c r="A6" i="37"/>
  <c r="A7" i="37"/>
  <c r="A8" i="37"/>
  <c r="A9" i="37"/>
  <c r="A10" i="37"/>
  <c r="A11" i="37"/>
  <c r="A12" i="37"/>
  <c r="A13" i="37"/>
  <c r="A14" i="37"/>
  <c r="A15" i="37"/>
  <c r="A16" i="37"/>
  <c r="A17" i="37"/>
  <c r="A18" i="37"/>
  <c r="A19" i="37"/>
  <c r="A20" i="37"/>
  <c r="A21" i="37"/>
  <c r="A22" i="37"/>
  <c r="A23" i="37"/>
  <c r="A24" i="37"/>
  <c r="A25" i="37"/>
  <c r="A26" i="37"/>
  <c r="A27" i="37"/>
  <c r="A28" i="37"/>
  <c r="A29" i="37"/>
  <c r="A30" i="37"/>
  <c r="A31" i="37"/>
  <c r="A32" i="37"/>
  <c r="A3" i="37"/>
  <c r="B3" i="39"/>
  <c r="B4" i="39"/>
  <c r="B5" i="39"/>
  <c r="B6" i="39"/>
  <c r="B7" i="39"/>
  <c r="B8" i="39"/>
  <c r="B9" i="39"/>
  <c r="B10" i="39"/>
  <c r="B11" i="39"/>
  <c r="B12" i="39"/>
  <c r="B13" i="39"/>
  <c r="B14" i="39"/>
  <c r="B15" i="39"/>
  <c r="B16" i="39"/>
  <c r="B17" i="39"/>
  <c r="B18" i="39"/>
  <c r="B19" i="39"/>
  <c r="B20" i="39"/>
  <c r="B21" i="39"/>
  <c r="B22" i="39"/>
  <c r="B23" i="39"/>
  <c r="B24" i="39"/>
  <c r="B25" i="39"/>
  <c r="B26" i="39"/>
  <c r="B27" i="39"/>
  <c r="B28" i="39"/>
  <c r="B29" i="39"/>
  <c r="B30" i="39"/>
  <c r="B31" i="39"/>
  <c r="B32" i="39"/>
  <c r="B3" i="37"/>
  <c r="B4" i="37"/>
  <c r="B5" i="37"/>
  <c r="B6" i="37"/>
  <c r="B7" i="37"/>
  <c r="B8" i="37"/>
  <c r="B9" i="37"/>
  <c r="B10" i="37"/>
  <c r="B11" i="37"/>
  <c r="B12" i="37"/>
  <c r="B13" i="37"/>
  <c r="B14" i="37"/>
  <c r="B15" i="37"/>
  <c r="B16" i="37"/>
  <c r="B17" i="37"/>
  <c r="B18" i="37"/>
  <c r="B19" i="37"/>
  <c r="B20" i="37"/>
  <c r="B21" i="37"/>
  <c r="B22" i="37"/>
  <c r="B23" i="37"/>
  <c r="B24" i="37"/>
  <c r="B25" i="37"/>
  <c r="B26" i="37"/>
  <c r="B27" i="37"/>
  <c r="B28" i="37"/>
  <c r="B29" i="37"/>
  <c r="B30" i="37"/>
  <c r="B31" i="37"/>
  <c r="B32" i="37"/>
  <c r="K32" i="44" l="1"/>
  <c r="C32" i="44"/>
  <c r="A32" i="44"/>
  <c r="K31" i="44"/>
  <c r="C31" i="44"/>
  <c r="A31" i="44"/>
  <c r="K30" i="44"/>
  <c r="C30" i="44"/>
  <c r="A30" i="44"/>
  <c r="K29" i="44"/>
  <c r="C29" i="44"/>
  <c r="A29" i="44"/>
  <c r="K28" i="44"/>
  <c r="C28" i="44"/>
  <c r="A28" i="44"/>
  <c r="K27" i="44"/>
  <c r="C27" i="44"/>
  <c r="A27" i="44"/>
  <c r="K26" i="44"/>
  <c r="C26" i="44"/>
  <c r="A26" i="44"/>
  <c r="K25" i="44"/>
  <c r="C25" i="44"/>
  <c r="A25" i="44"/>
  <c r="K24" i="44"/>
  <c r="C24" i="44"/>
  <c r="A24" i="44"/>
  <c r="K23" i="44"/>
  <c r="C23" i="44"/>
  <c r="A23" i="44"/>
  <c r="K22" i="44"/>
  <c r="C22" i="44"/>
  <c r="A22" i="44"/>
  <c r="K21" i="44"/>
  <c r="C21" i="44"/>
  <c r="A21" i="44"/>
  <c r="K20" i="44"/>
  <c r="C20" i="44"/>
  <c r="A20" i="44"/>
  <c r="K19" i="44"/>
  <c r="C19" i="44"/>
  <c r="A19" i="44"/>
  <c r="K18" i="44"/>
  <c r="C18" i="44"/>
  <c r="A18" i="44"/>
  <c r="K17" i="44"/>
  <c r="C17" i="44"/>
  <c r="A17" i="44"/>
  <c r="K16" i="44"/>
  <c r="C16" i="44"/>
  <c r="A16" i="44"/>
  <c r="K15" i="44"/>
  <c r="C15" i="44"/>
  <c r="A15" i="44"/>
  <c r="K14" i="44"/>
  <c r="C14" i="44"/>
  <c r="A14" i="44"/>
  <c r="K13" i="44"/>
  <c r="C13" i="44"/>
  <c r="A13" i="44"/>
  <c r="K12" i="44"/>
  <c r="C12" i="44"/>
  <c r="A12" i="44"/>
  <c r="K11" i="44"/>
  <c r="C11" i="44"/>
  <c r="A11" i="44"/>
  <c r="K10" i="44"/>
  <c r="C10" i="44"/>
  <c r="A10" i="44"/>
  <c r="K9" i="44"/>
  <c r="C9" i="44"/>
  <c r="A9" i="44"/>
  <c r="K8" i="44"/>
  <c r="C8" i="44"/>
  <c r="A8" i="44"/>
  <c r="K7" i="44"/>
  <c r="C7" i="44"/>
  <c r="A7" i="44"/>
  <c r="K6" i="44"/>
  <c r="C6" i="44"/>
  <c r="A6" i="44"/>
  <c r="K5" i="44"/>
  <c r="C5" i="44"/>
  <c r="A5" i="44"/>
  <c r="K4" i="44"/>
  <c r="C4" i="44"/>
  <c r="A4" i="44"/>
  <c r="C3" i="44"/>
  <c r="A3" i="44"/>
  <c r="C32" i="37"/>
  <c r="P32" i="37" l="1"/>
  <c r="K33" i="44"/>
  <c r="A9" i="43"/>
  <c r="A11" i="43"/>
  <c r="A13" i="43"/>
  <c r="A15" i="43"/>
  <c r="A17" i="43"/>
  <c r="A19" i="43"/>
  <c r="A18" i="43"/>
  <c r="A16" i="43"/>
  <c r="C32" i="43"/>
  <c r="A32" i="43"/>
  <c r="C31" i="43"/>
  <c r="A31" i="43"/>
  <c r="C30" i="43"/>
  <c r="A30" i="43"/>
  <c r="C29" i="43"/>
  <c r="A29" i="43"/>
  <c r="C28" i="43"/>
  <c r="A28" i="43"/>
  <c r="C27" i="43"/>
  <c r="A27" i="43"/>
  <c r="C26" i="43"/>
  <c r="A26" i="43"/>
  <c r="C25" i="43"/>
  <c r="A25" i="43"/>
  <c r="C24" i="43"/>
  <c r="A24" i="43"/>
  <c r="C23" i="43"/>
  <c r="A23" i="43"/>
  <c r="C22" i="43"/>
  <c r="A22" i="43"/>
  <c r="C21" i="43"/>
  <c r="A21" i="43"/>
  <c r="C20" i="43"/>
  <c r="A20" i="43"/>
  <c r="C19" i="43"/>
  <c r="C18" i="43"/>
  <c r="C17" i="43"/>
  <c r="C16" i="43"/>
  <c r="C15" i="43"/>
  <c r="C14" i="43"/>
  <c r="A14" i="43"/>
  <c r="C13" i="43"/>
  <c r="C12" i="43"/>
  <c r="A12" i="43"/>
  <c r="C11" i="43"/>
  <c r="C10" i="43"/>
  <c r="A10" i="43"/>
  <c r="C9" i="43"/>
  <c r="C8" i="43"/>
  <c r="A8" i="43"/>
  <c r="C7" i="43"/>
  <c r="A7" i="43"/>
  <c r="C6" i="43"/>
  <c r="A6" i="43"/>
  <c r="C5" i="43"/>
  <c r="A5" i="43"/>
  <c r="C4" i="43"/>
  <c r="A4" i="43"/>
  <c r="C3" i="43"/>
  <c r="A3" i="43"/>
  <c r="C32" i="41"/>
  <c r="A32" i="41"/>
  <c r="C31" i="41"/>
  <c r="A31" i="41"/>
  <c r="C30" i="41"/>
  <c r="A30" i="41"/>
  <c r="C29" i="41"/>
  <c r="A29" i="41"/>
  <c r="C28" i="41"/>
  <c r="A28" i="41"/>
  <c r="C27" i="41"/>
  <c r="A27" i="41"/>
  <c r="C26" i="41"/>
  <c r="A26" i="41"/>
  <c r="C25" i="41"/>
  <c r="A25" i="41"/>
  <c r="C24" i="41"/>
  <c r="A24" i="41"/>
  <c r="C23" i="41"/>
  <c r="A23" i="41"/>
  <c r="C22" i="41"/>
  <c r="A22" i="41"/>
  <c r="C21" i="41"/>
  <c r="A21" i="41"/>
  <c r="C20" i="41"/>
  <c r="A20" i="41"/>
  <c r="C19" i="41"/>
  <c r="A19" i="41"/>
  <c r="C18" i="41"/>
  <c r="A18" i="41"/>
  <c r="C17" i="41"/>
  <c r="A17" i="41"/>
  <c r="C16" i="41"/>
  <c r="A16" i="41"/>
  <c r="C15" i="41"/>
  <c r="A15" i="41"/>
  <c r="C14" i="41"/>
  <c r="A14" i="41"/>
  <c r="C13" i="41"/>
  <c r="A13" i="41"/>
  <c r="C12" i="41"/>
  <c r="A12" i="41"/>
  <c r="C11" i="41"/>
  <c r="A11" i="41"/>
  <c r="C10" i="41"/>
  <c r="A10" i="41"/>
  <c r="C9" i="41"/>
  <c r="A9" i="41"/>
  <c r="C8" i="41"/>
  <c r="A8" i="41"/>
  <c r="C7" i="41"/>
  <c r="A7" i="41"/>
  <c r="C6" i="41"/>
  <c r="A6" i="41"/>
  <c r="C5" i="41"/>
  <c r="A5" i="41"/>
  <c r="C4" i="41"/>
  <c r="A4" i="41"/>
  <c r="C3" i="41"/>
  <c r="A3" i="41"/>
  <c r="C32" i="40"/>
  <c r="A32" i="40"/>
  <c r="C31" i="40"/>
  <c r="A31" i="40"/>
  <c r="C30" i="40"/>
  <c r="A30" i="40"/>
  <c r="C29" i="40"/>
  <c r="A29" i="40"/>
  <c r="C28" i="40"/>
  <c r="A28" i="40"/>
  <c r="C27" i="40"/>
  <c r="A27" i="40"/>
  <c r="C26" i="40"/>
  <c r="A26" i="40"/>
  <c r="C25" i="40"/>
  <c r="A25" i="40"/>
  <c r="C24" i="40"/>
  <c r="A24" i="40"/>
  <c r="C23" i="40"/>
  <c r="A23" i="40"/>
  <c r="C22" i="40"/>
  <c r="A22" i="40"/>
  <c r="C21" i="40"/>
  <c r="A21" i="40"/>
  <c r="C20" i="40"/>
  <c r="A20" i="40"/>
  <c r="C19" i="40"/>
  <c r="A19" i="40"/>
  <c r="C18" i="40"/>
  <c r="A18" i="40"/>
  <c r="C17" i="40"/>
  <c r="A17" i="40"/>
  <c r="C16" i="40"/>
  <c r="A16" i="40"/>
  <c r="C15" i="40"/>
  <c r="A15" i="40"/>
  <c r="C14" i="40"/>
  <c r="A14" i="40"/>
  <c r="C13" i="40"/>
  <c r="A13" i="40"/>
  <c r="C12" i="40"/>
  <c r="A12" i="40"/>
  <c r="C11" i="40"/>
  <c r="A11" i="40"/>
  <c r="C10" i="40"/>
  <c r="A10" i="40"/>
  <c r="C9" i="40"/>
  <c r="A9" i="40"/>
  <c r="C8" i="40"/>
  <c r="A8" i="40"/>
  <c r="C7" i="40"/>
  <c r="A7" i="40"/>
  <c r="C6" i="40"/>
  <c r="A6" i="40"/>
  <c r="C5" i="40"/>
  <c r="A5" i="40"/>
  <c r="C4" i="40"/>
  <c r="A4" i="40"/>
  <c r="C3" i="40"/>
  <c r="A3" i="40"/>
  <c r="C32" i="39"/>
  <c r="A32" i="39"/>
  <c r="C31" i="39"/>
  <c r="A31" i="39"/>
  <c r="C30" i="39"/>
  <c r="A30" i="39"/>
  <c r="C29" i="39"/>
  <c r="A29" i="39"/>
  <c r="C28" i="39"/>
  <c r="A28" i="39"/>
  <c r="C27" i="39"/>
  <c r="A27" i="39"/>
  <c r="C26" i="39"/>
  <c r="A26" i="39"/>
  <c r="C25" i="39"/>
  <c r="A25" i="39"/>
  <c r="C24" i="39"/>
  <c r="A24" i="39"/>
  <c r="C23" i="39"/>
  <c r="A23" i="39"/>
  <c r="C22" i="39"/>
  <c r="A22" i="39"/>
  <c r="C21" i="39"/>
  <c r="A21" i="39"/>
  <c r="C20" i="39"/>
  <c r="A20" i="39"/>
  <c r="C19" i="39"/>
  <c r="A19" i="39"/>
  <c r="C18" i="39"/>
  <c r="A18" i="39"/>
  <c r="C17" i="39"/>
  <c r="A17" i="39"/>
  <c r="C16" i="39"/>
  <c r="A16" i="39"/>
  <c r="C15" i="39"/>
  <c r="A15" i="39"/>
  <c r="C14" i="39"/>
  <c r="A14" i="39"/>
  <c r="C13" i="39"/>
  <c r="A13" i="39"/>
  <c r="C12" i="39"/>
  <c r="A12" i="39"/>
  <c r="C11" i="39"/>
  <c r="A11" i="39"/>
  <c r="C10" i="39"/>
  <c r="A10" i="39"/>
  <c r="C9" i="39"/>
  <c r="A9" i="39"/>
  <c r="C8" i="39"/>
  <c r="A8" i="39"/>
  <c r="C7" i="39"/>
  <c r="A7" i="39"/>
  <c r="C6" i="39"/>
  <c r="A6" i="39"/>
  <c r="C5" i="39"/>
  <c r="A5" i="39"/>
  <c r="C4" i="39"/>
  <c r="A4" i="39"/>
  <c r="C3" i="39"/>
  <c r="A3" i="39"/>
  <c r="C32" i="38"/>
  <c r="A32" i="38"/>
  <c r="C31" i="38"/>
  <c r="A31" i="38"/>
  <c r="C30" i="38"/>
  <c r="A30" i="38"/>
  <c r="C29" i="38"/>
  <c r="A29" i="38"/>
  <c r="C28" i="38"/>
  <c r="A28" i="38"/>
  <c r="C27" i="38"/>
  <c r="A27" i="38"/>
  <c r="C26" i="38"/>
  <c r="A26" i="38"/>
  <c r="C25" i="38"/>
  <c r="A25" i="38"/>
  <c r="C24" i="38"/>
  <c r="A24" i="38"/>
  <c r="C23" i="38"/>
  <c r="A23" i="38"/>
  <c r="C22" i="38"/>
  <c r="A22" i="38"/>
  <c r="C21" i="38"/>
  <c r="A21" i="38"/>
  <c r="C20" i="38"/>
  <c r="A20" i="38"/>
  <c r="C19" i="38"/>
  <c r="A19" i="38"/>
  <c r="C18" i="38"/>
  <c r="A18" i="38"/>
  <c r="C17" i="38"/>
  <c r="A17" i="38"/>
  <c r="C16" i="38"/>
  <c r="A16" i="38"/>
  <c r="C15" i="38"/>
  <c r="A15" i="38"/>
  <c r="C14" i="38"/>
  <c r="A14" i="38"/>
  <c r="C13" i="38"/>
  <c r="A13" i="38"/>
  <c r="C12" i="38"/>
  <c r="A12" i="38"/>
  <c r="C11" i="38"/>
  <c r="A11" i="38"/>
  <c r="C10" i="38"/>
  <c r="A10" i="38"/>
  <c r="C9" i="38"/>
  <c r="A9" i="38"/>
  <c r="C8" i="38"/>
  <c r="A8" i="38"/>
  <c r="C7" i="38"/>
  <c r="A7" i="38"/>
  <c r="C6" i="38"/>
  <c r="A6" i="38"/>
  <c r="C5" i="38"/>
  <c r="A5" i="38"/>
  <c r="C4" i="38"/>
  <c r="A4" i="38"/>
  <c r="C3" i="38"/>
  <c r="A3" i="38"/>
  <c r="C4" i="37"/>
  <c r="C5" i="37"/>
  <c r="C6" i="37"/>
  <c r="C7" i="37"/>
  <c r="C8" i="37"/>
  <c r="C9" i="37"/>
  <c r="C10" i="37"/>
  <c r="C11" i="37"/>
  <c r="C12" i="37"/>
  <c r="C13" i="37"/>
  <c r="C14" i="37"/>
  <c r="C15" i="37"/>
  <c r="C16" i="37"/>
  <c r="C17" i="37"/>
  <c r="C18" i="37"/>
  <c r="C19" i="37"/>
  <c r="C20" i="37"/>
  <c r="C21" i="37"/>
  <c r="C22" i="37"/>
  <c r="C23" i="37"/>
  <c r="C24" i="37"/>
  <c r="C25" i="37"/>
  <c r="C26" i="37"/>
  <c r="C27" i="37"/>
  <c r="C28" i="37"/>
  <c r="C29" i="37"/>
  <c r="C30" i="37"/>
  <c r="C31" i="37"/>
  <c r="C3" i="37"/>
  <c r="P7" i="1"/>
  <c r="P8" i="1"/>
  <c r="P9" i="1"/>
  <c r="P10" i="1"/>
  <c r="P11" i="1"/>
  <c r="P12" i="1"/>
  <c r="P14" i="1"/>
  <c r="P15" i="1"/>
  <c r="P16" i="1"/>
  <c r="P30" i="1"/>
  <c r="P31" i="1"/>
  <c r="P17" i="1"/>
  <c r="P21" i="1"/>
  <c r="O10" i="57" l="1"/>
  <c r="P9" i="45"/>
  <c r="P14" i="45"/>
  <c r="P18" i="45"/>
  <c r="P7" i="45"/>
  <c r="E11" i="57"/>
  <c r="E49" i="57" s="1"/>
  <c r="I11" i="57"/>
  <c r="I49" i="57" s="1"/>
  <c r="M11" i="57"/>
  <c r="M49" i="57" s="1"/>
  <c r="P4" i="45"/>
  <c r="P6" i="45"/>
  <c r="P11" i="45"/>
  <c r="P17" i="45"/>
  <c r="P20" i="45"/>
  <c r="P22" i="45"/>
  <c r="P24" i="45"/>
  <c r="P26" i="45"/>
  <c r="P28" i="45"/>
  <c r="P30" i="45"/>
  <c r="P32" i="45"/>
  <c r="F11" i="57"/>
  <c r="F49" i="57" s="1"/>
  <c r="J11" i="57"/>
  <c r="J49" i="57" s="1"/>
  <c r="N11" i="57"/>
  <c r="N49" i="57" s="1"/>
  <c r="G11" i="57"/>
  <c r="G49" i="57" s="1"/>
  <c r="K11" i="57"/>
  <c r="K49" i="57" s="1"/>
  <c r="P5" i="45"/>
  <c r="P12" i="45"/>
  <c r="P15" i="45"/>
  <c r="P19" i="45"/>
  <c r="P21" i="45"/>
  <c r="P23" i="45"/>
  <c r="P25" i="45"/>
  <c r="P27" i="45"/>
  <c r="P29" i="45"/>
  <c r="P31" i="45"/>
  <c r="D11" i="57"/>
  <c r="D49" i="57" s="1"/>
  <c r="L11" i="57"/>
  <c r="L49" i="57" s="1"/>
  <c r="P10" i="45"/>
  <c r="P13" i="45"/>
  <c r="P16" i="45"/>
  <c r="Q3" i="43"/>
  <c r="Q7" i="43"/>
  <c r="Q15" i="43"/>
  <c r="Q17" i="43"/>
  <c r="Q19" i="43"/>
  <c r="Q23" i="43"/>
  <c r="Q27" i="43"/>
  <c r="Q31" i="43"/>
  <c r="Q9" i="43"/>
  <c r="Q10" i="43"/>
  <c r="Q12" i="43"/>
  <c r="Q5" i="43"/>
  <c r="Q6" i="43"/>
  <c r="Q11" i="43"/>
  <c r="Q16" i="43"/>
  <c r="Q21" i="43"/>
  <c r="Q22" i="43"/>
  <c r="Q25" i="43"/>
  <c r="Q26" i="43"/>
  <c r="Q29" i="43"/>
  <c r="Q30" i="43"/>
  <c r="Q4" i="43"/>
  <c r="Q8" i="43"/>
  <c r="Q13" i="43"/>
  <c r="Q14" i="43"/>
  <c r="Q18" i="43"/>
  <c r="Q20" i="43"/>
  <c r="Q24" i="43"/>
  <c r="Q28" i="43"/>
  <c r="Q32" i="43"/>
  <c r="Q4" i="38"/>
  <c r="Q6" i="38"/>
  <c r="Q8" i="38"/>
  <c r="Q10" i="38"/>
  <c r="Q12" i="38"/>
  <c r="Q14" i="38"/>
  <c r="Q16" i="38"/>
  <c r="Q18" i="38"/>
  <c r="Q20" i="38"/>
  <c r="Q22" i="38"/>
  <c r="Q24" i="38"/>
  <c r="Q26" i="38"/>
  <c r="Q28" i="38"/>
  <c r="Q30" i="38"/>
  <c r="Q32" i="38"/>
  <c r="Q4" i="40"/>
  <c r="Q6" i="40"/>
  <c r="Q8" i="40"/>
  <c r="Q10" i="40"/>
  <c r="Q12" i="40"/>
  <c r="Q14" i="40"/>
  <c r="Q16" i="40"/>
  <c r="Q18" i="40"/>
  <c r="Q20" i="40"/>
  <c r="Q22" i="40"/>
  <c r="Q24" i="40"/>
  <c r="Q26" i="40"/>
  <c r="Q28" i="40"/>
  <c r="Q30" i="40"/>
  <c r="Q32" i="40"/>
  <c r="K4" i="41"/>
  <c r="K6" i="41"/>
  <c r="K8" i="41"/>
  <c r="K10" i="41"/>
  <c r="K12" i="41"/>
  <c r="K14" i="41"/>
  <c r="K16" i="41"/>
  <c r="K18" i="41"/>
  <c r="K20" i="41"/>
  <c r="K22" i="41"/>
  <c r="K24" i="41"/>
  <c r="K26" i="41"/>
  <c r="K28" i="41"/>
  <c r="K30" i="41"/>
  <c r="K32" i="41"/>
  <c r="Q5" i="38"/>
  <c r="Q9" i="38"/>
  <c r="Q17" i="38"/>
  <c r="Q21" i="38"/>
  <c r="Q25" i="38"/>
  <c r="Q27" i="38"/>
  <c r="Q29" i="38"/>
  <c r="Q31" i="38"/>
  <c r="Q3" i="40"/>
  <c r="Q5" i="40"/>
  <c r="Q7" i="40"/>
  <c r="Q9" i="40"/>
  <c r="Q11" i="40"/>
  <c r="Q13" i="40"/>
  <c r="Q15" i="40"/>
  <c r="Q17" i="40"/>
  <c r="Q19" i="40"/>
  <c r="Q21" i="40"/>
  <c r="Q23" i="40"/>
  <c r="Q25" i="40"/>
  <c r="Q27" i="40"/>
  <c r="Q29" i="40"/>
  <c r="Q31" i="40"/>
  <c r="K3" i="41"/>
  <c r="K5" i="41"/>
  <c r="K7" i="41"/>
  <c r="K9" i="41"/>
  <c r="K11" i="41"/>
  <c r="K13" i="41"/>
  <c r="K15" i="41"/>
  <c r="K17" i="41"/>
  <c r="K19" i="41"/>
  <c r="K21" i="41"/>
  <c r="K23" i="41"/>
  <c r="K25" i="41"/>
  <c r="K27" i="41"/>
  <c r="K29" i="41"/>
  <c r="K31" i="41"/>
  <c r="Q3" i="38"/>
  <c r="Q7" i="38"/>
  <c r="Q11" i="38"/>
  <c r="Q13" i="38"/>
  <c r="Q15" i="38"/>
  <c r="Q19" i="38"/>
  <c r="Q23" i="38"/>
  <c r="P4" i="39"/>
  <c r="P6" i="39"/>
  <c r="P8" i="39"/>
  <c r="P10" i="39"/>
  <c r="P12" i="39"/>
  <c r="P14" i="39"/>
  <c r="P16" i="39"/>
  <c r="P18" i="39"/>
  <c r="P20" i="39"/>
  <c r="P22" i="39"/>
  <c r="P24" i="39"/>
  <c r="P26" i="39"/>
  <c r="P28" i="39"/>
  <c r="P30" i="39"/>
  <c r="P32" i="39"/>
  <c r="P3" i="39"/>
  <c r="P5" i="39"/>
  <c r="P7" i="39"/>
  <c r="P9" i="39"/>
  <c r="P11" i="39"/>
  <c r="P13" i="39"/>
  <c r="P15" i="39"/>
  <c r="P17" i="39"/>
  <c r="P19" i="39"/>
  <c r="P21" i="39"/>
  <c r="P23" i="39"/>
  <c r="P25" i="39"/>
  <c r="P27" i="39"/>
  <c r="P29" i="39"/>
  <c r="P31" i="39"/>
  <c r="P28" i="37"/>
  <c r="P24" i="37"/>
  <c r="P20" i="37"/>
  <c r="P16" i="37"/>
  <c r="P12" i="37"/>
  <c r="P8" i="37"/>
  <c r="P4" i="37"/>
  <c r="P29" i="37"/>
  <c r="P17" i="37"/>
  <c r="P13" i="37"/>
  <c r="P21" i="37"/>
  <c r="P25" i="37"/>
  <c r="P9" i="37"/>
  <c r="P19" i="37"/>
  <c r="P10" i="37"/>
  <c r="P27" i="37"/>
  <c r="P15" i="37"/>
  <c r="P31" i="37"/>
  <c r="P23" i="37"/>
  <c r="P11" i="37"/>
  <c r="P26" i="37"/>
  <c r="P5" i="37"/>
  <c r="P7" i="37"/>
  <c r="P30" i="37"/>
  <c r="P22" i="37"/>
  <c r="P18" i="37"/>
  <c r="P14" i="37"/>
  <c r="P6" i="37"/>
  <c r="P4" i="1"/>
  <c r="P5" i="1"/>
  <c r="P6" i="1"/>
  <c r="P18" i="1"/>
  <c r="P19" i="1"/>
  <c r="P20" i="1"/>
  <c r="P22" i="1"/>
  <c r="P23" i="1"/>
  <c r="P24" i="1"/>
  <c r="P25" i="1"/>
  <c r="P26" i="1"/>
  <c r="P27" i="1"/>
  <c r="P28" i="1"/>
  <c r="P29" i="1"/>
  <c r="P32" i="1"/>
  <c r="P3" i="1"/>
  <c r="O8" i="57" l="1"/>
  <c r="O6" i="57"/>
  <c r="C11" i="57"/>
  <c r="C49" i="57" s="1"/>
  <c r="P3" i="45"/>
  <c r="O7" i="57"/>
  <c r="H11" i="57"/>
  <c r="H49" i="57" s="1"/>
  <c r="P8" i="45"/>
  <c r="Q33" i="43"/>
  <c r="O9" i="57"/>
  <c r="K33" i="41"/>
  <c r="Q33" i="40"/>
  <c r="Q33" i="38"/>
  <c r="P33" i="39"/>
  <c r="P33" i="1"/>
  <c r="P3" i="37"/>
  <c r="P33" i="37" s="1"/>
  <c r="O11" i="57" l="1"/>
  <c r="O49" i="57" s="1"/>
  <c r="P33" i="45"/>
</calcChain>
</file>

<file path=xl/sharedStrings.xml><?xml version="1.0" encoding="utf-8"?>
<sst xmlns="http://schemas.openxmlformats.org/spreadsheetml/2006/main" count="461" uniqueCount="103">
  <si>
    <t>Nome</t>
  </si>
  <si>
    <t>Cargo</t>
  </si>
  <si>
    <t>Total</t>
  </si>
  <si>
    <t>INSS</t>
  </si>
  <si>
    <t>FGTS</t>
  </si>
  <si>
    <t>Alíquota</t>
  </si>
  <si>
    <t>Utilidades Públicas</t>
  </si>
  <si>
    <t>Água e Esgoto</t>
  </si>
  <si>
    <t>Força e Luz</t>
  </si>
  <si>
    <t>Internet</t>
  </si>
  <si>
    <t>Telefones</t>
  </si>
  <si>
    <t>IRPF</t>
  </si>
  <si>
    <t xml:space="preserve">Total Geral        </t>
  </si>
  <si>
    <t>13º Salário</t>
  </si>
  <si>
    <t>PIS</t>
  </si>
  <si>
    <t>Parcela</t>
  </si>
  <si>
    <t>Janeiro</t>
  </si>
  <si>
    <t>Fevereiro</t>
  </si>
  <si>
    <t>Março</t>
  </si>
  <si>
    <t>Abril</t>
  </si>
  <si>
    <t>Junho</t>
  </si>
  <si>
    <t>Julho</t>
  </si>
  <si>
    <t>Agosto</t>
  </si>
  <si>
    <t>Outubro</t>
  </si>
  <si>
    <t>Maio</t>
  </si>
  <si>
    <t>Nº</t>
  </si>
  <si>
    <t>INSS Patronal</t>
  </si>
  <si>
    <t>Novembro</t>
  </si>
  <si>
    <t>Dezembro</t>
  </si>
  <si>
    <t>Setembro</t>
  </si>
  <si>
    <t>Vínculo</t>
  </si>
  <si>
    <t>Classificação</t>
  </si>
  <si>
    <t>Combustível</t>
  </si>
  <si>
    <t>Generos Alimentícios</t>
  </si>
  <si>
    <t>Coleta de Lixo Hospitalar</t>
  </si>
  <si>
    <t>1/3 Férias</t>
  </si>
  <si>
    <t>JUSTIFICATIVA DOS ITENS ADQUIRIDOS</t>
  </si>
  <si>
    <t>Outros Bens e Materiais Permanentes</t>
  </si>
  <si>
    <t>Serviços Médicos Pessoa Jurídica</t>
  </si>
  <si>
    <t>Material Médico e Hospitalar</t>
  </si>
  <si>
    <t>Medicamentos</t>
  </si>
  <si>
    <t>INSS - Patronal</t>
  </si>
  <si>
    <t>Férias</t>
  </si>
  <si>
    <t>Multa Rescisória FGTS</t>
  </si>
  <si>
    <t>Estagiários</t>
  </si>
  <si>
    <t>RH5</t>
  </si>
  <si>
    <t>Material de Expediente</t>
  </si>
  <si>
    <t>Material de Higienização e Limpeza</t>
  </si>
  <si>
    <t>Material Didático</t>
  </si>
  <si>
    <t>Material Esportivo</t>
  </si>
  <si>
    <t>Material de Consumo</t>
  </si>
  <si>
    <t>Assessoria Contábil</t>
  </si>
  <si>
    <t>Limpeza e Conservação</t>
  </si>
  <si>
    <t>Outros Serviços de Terceiros PF</t>
  </si>
  <si>
    <t>Outros Serviços de Terceiros PJ</t>
  </si>
  <si>
    <t>Serviço de Tecnologia da Informação</t>
  </si>
  <si>
    <t>Vigilância</t>
  </si>
  <si>
    <t>Equipamento de Informática</t>
  </si>
  <si>
    <t>Equipamento Médico Hospitalar</t>
  </si>
  <si>
    <t>Veículos</t>
  </si>
  <si>
    <t>Predial e Imobiliário</t>
  </si>
  <si>
    <t>Serviços de Terceiros</t>
  </si>
  <si>
    <t>Diversas</t>
  </si>
  <si>
    <t>Imóvel</t>
  </si>
  <si>
    <t>Locação</t>
  </si>
  <si>
    <t>Diversos</t>
  </si>
  <si>
    <t>Bens e Materiais Permanentes</t>
  </si>
  <si>
    <t>Serviços Médicos Pessoa Física</t>
  </si>
  <si>
    <t>Serviços Médicos</t>
  </si>
  <si>
    <t>Manutenção Equip. Médico Hospitalar</t>
  </si>
  <si>
    <t>Manutenção Equip. de Informática</t>
  </si>
  <si>
    <t>Bens e Equipamentos de Informática</t>
  </si>
  <si>
    <t>Bens e Equipamentos Hospitalares</t>
  </si>
  <si>
    <t>Gen. Aliment.</t>
  </si>
  <si>
    <t>M. Med. Hosp.</t>
  </si>
  <si>
    <t>02 - VALE ALIMENTAÇÃO</t>
  </si>
  <si>
    <t>03 - VALE REFEIÇÃO</t>
  </si>
  <si>
    <t>03 - VALE TRANSPORTE</t>
  </si>
  <si>
    <t>05 - INSS</t>
  </si>
  <si>
    <t>06 - IRPF</t>
  </si>
  <si>
    <t>07 - FGTS</t>
  </si>
  <si>
    <t>08 - INSS Patronal</t>
  </si>
  <si>
    <t>09 - PIS</t>
  </si>
  <si>
    <t>10 - 13º Salário</t>
  </si>
  <si>
    <t>11 - Férias</t>
  </si>
  <si>
    <t>12 - Multa Rescisória</t>
  </si>
  <si>
    <t>13 - RH6</t>
  </si>
  <si>
    <t>14 - Material de Consumo/Generos Alimentícios</t>
  </si>
  <si>
    <t>15 - Serviço de Terceiros</t>
  </si>
  <si>
    <t>16 - Utilidades Públicas</t>
  </si>
  <si>
    <t>17 - Locação</t>
  </si>
  <si>
    <t>18 - Diversos</t>
  </si>
  <si>
    <t>19 - Bens e Materiais Permanentes</t>
  </si>
  <si>
    <t>20 - Serviços Médicos (Termos Secretaria de Saúde)</t>
  </si>
  <si>
    <t>23 - Total</t>
  </si>
  <si>
    <t>Vale Alimentação</t>
  </si>
  <si>
    <t>Vale Refeição</t>
  </si>
  <si>
    <t>Vale Transporte</t>
  </si>
  <si>
    <t>21 - Material Médico e Hospitalar (Termos Secretaria de Saúde)</t>
  </si>
  <si>
    <t>22 - Medicamentos</t>
  </si>
  <si>
    <t>Descrição</t>
  </si>
  <si>
    <t>Salário</t>
  </si>
  <si>
    <t>01 - SALÁRIO (DESCONTANDO INSS E IRPF)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</si>
</sst>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0"/>
      <name val="Arial"/>
      <family val="2"/>
    </font>
    <font>
      <b/>
      <sz val="14"/>
      <color theme="0"/>
      <name val="Arial"/>
      <family val="2"/>
    </font>
    <font>
      <sz val="10"/>
      <color theme="1"/>
      <name val="Arial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7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44" fontId="2" fillId="0" borderId="3" xfId="3" applyFont="1" applyBorder="1" applyAlignment="1">
      <alignment vertical="center"/>
    </xf>
    <xf numFmtId="44" fontId="2" fillId="0" borderId="8" xfId="3" applyFont="1" applyBorder="1" applyAlignment="1">
      <alignment vertical="center"/>
    </xf>
    <xf numFmtId="44" fontId="2" fillId="0" borderId="1" xfId="3" applyFont="1" applyBorder="1" applyAlignment="1">
      <alignment vertical="center"/>
    </xf>
    <xf numFmtId="44" fontId="2" fillId="0" borderId="2" xfId="3" applyFont="1" applyBorder="1" applyAlignment="1">
      <alignment vertical="center"/>
    </xf>
    <xf numFmtId="44" fontId="2" fillId="0" borderId="12" xfId="3" applyFont="1" applyBorder="1" applyAlignment="1">
      <alignment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44" fontId="5" fillId="0" borderId="1" xfId="3" applyFont="1" applyBorder="1" applyAlignment="1">
      <alignment vertical="center"/>
    </xf>
    <xf numFmtId="44" fontId="5" fillId="0" borderId="8" xfId="3" applyFont="1" applyBorder="1" applyAlignment="1">
      <alignment vertical="center"/>
    </xf>
    <xf numFmtId="44" fontId="4" fillId="2" borderId="3" xfId="1" applyFont="1" applyFill="1" applyBorder="1"/>
    <xf numFmtId="10" fontId="2" fillId="0" borderId="3" xfId="2" applyNumberFormat="1" applyFont="1" applyBorder="1" applyAlignment="1">
      <alignment vertical="center" wrapText="1"/>
    </xf>
    <xf numFmtId="10" fontId="2" fillId="0" borderId="1" xfId="2" applyNumberFormat="1" applyFont="1" applyBorder="1" applyAlignment="1">
      <alignment vertical="center" wrapText="1"/>
    </xf>
    <xf numFmtId="0" fontId="4" fillId="0" borderId="0" xfId="0" applyFont="1" applyAlignment="1">
      <alignment horizontal="right"/>
    </xf>
    <xf numFmtId="44" fontId="4" fillId="0" borderId="0" xfId="1" applyFont="1" applyFill="1" applyBorder="1"/>
    <xf numFmtId="0" fontId="2" fillId="2" borderId="1" xfId="0" applyFont="1" applyFill="1" applyBorder="1" applyAlignment="1">
      <alignment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 wrapText="1"/>
    </xf>
    <xf numFmtId="0" fontId="2" fillId="0" borderId="7" xfId="0" applyFont="1" applyBorder="1" applyAlignment="1" applyProtection="1">
      <alignment vertical="center" wrapText="1"/>
      <protection locked="0"/>
    </xf>
    <xf numFmtId="0" fontId="2" fillId="0" borderId="3" xfId="0" applyFont="1" applyBorder="1" applyAlignment="1" applyProtection="1">
      <alignment vertical="center" wrapText="1"/>
      <protection locked="0"/>
    </xf>
    <xf numFmtId="44" fontId="2" fillId="0" borderId="3" xfId="3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44" fontId="2" fillId="0" borderId="1" xfId="3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 wrapText="1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44" fontId="2" fillId="0" borderId="2" xfId="3" applyFont="1" applyBorder="1" applyAlignment="1" applyProtection="1">
      <alignment vertical="center"/>
      <protection locked="0"/>
    </xf>
    <xf numFmtId="0" fontId="3" fillId="0" borderId="12" xfId="0" applyFont="1" applyBorder="1" applyAlignment="1">
      <alignment horizontal="center" vertical="center"/>
    </xf>
    <xf numFmtId="44" fontId="2" fillId="0" borderId="8" xfId="3" applyFont="1" applyBorder="1" applyAlignment="1" applyProtection="1">
      <alignment vertical="center"/>
      <protection locked="0" hidden="1"/>
    </xf>
    <xf numFmtId="44" fontId="2" fillId="0" borderId="12" xfId="3" applyFont="1" applyBorder="1" applyAlignment="1" applyProtection="1">
      <alignment vertical="center"/>
      <protection locked="0" hidden="1"/>
    </xf>
    <xf numFmtId="0" fontId="5" fillId="0" borderId="7" xfId="0" applyFont="1" applyBorder="1" applyAlignment="1">
      <alignment vertical="center" wrapText="1"/>
    </xf>
    <xf numFmtId="0" fontId="2" fillId="3" borderId="1" xfId="0" applyFont="1" applyFill="1" applyBorder="1" applyAlignment="1">
      <alignment vertical="top" wrapText="1"/>
    </xf>
    <xf numFmtId="44" fontId="7" fillId="2" borderId="5" xfId="0" applyNumberFormat="1" applyFont="1" applyFill="1" applyBorder="1"/>
    <xf numFmtId="0" fontId="4" fillId="2" borderId="4" xfId="0" applyFont="1" applyFill="1" applyBorder="1"/>
    <xf numFmtId="0" fontId="4" fillId="2" borderId="5" xfId="0" applyFont="1" applyFill="1" applyBorder="1"/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left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2" fillId="3" borderId="6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</cellXfs>
  <cellStyles count="4">
    <cellStyle name="Moeda" xfId="1" builtinId="4"/>
    <cellStyle name="Moeda 2" xfId="3" xr:uid="{00000000-0005-0000-0000-000001000000}"/>
    <cellStyle name="Normal" xfId="0" builtinId="0"/>
    <cellStyle name="Porcentagem" xfId="2" builtinId="5"/>
  </cellStyles>
  <dxfs count="44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4" formatCode="0.00%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4" formatCode="0.00%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4" formatCode="0.00%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belaSalarioBase" displayName="TabelaSalarioBase" ref="A2:P32" totalsRowShown="0" headerRowDxfId="441" dataDxfId="440" tableBorderDxfId="439" dataCellStyle="Moeda 2">
  <tableColumns count="16">
    <tableColumn id="1" xr3:uid="{00000000-0010-0000-0200-000001000000}" name="Nº" dataDxfId="438" totalsRowDxfId="437"/>
    <tableColumn id="17" xr3:uid="{00000000-0010-0000-0200-000011000000}" name="Nome" dataDxfId="436" totalsRowDxfId="435"/>
    <tableColumn id="2" xr3:uid="{00000000-0010-0000-0200-000002000000}" name="Cargo" dataDxfId="434" totalsRowDxfId="433"/>
    <tableColumn id="3" xr3:uid="{00000000-0010-0000-0200-000003000000}" name="Janeiro" dataDxfId="432" totalsRowDxfId="431" dataCellStyle="Moeda 2"/>
    <tableColumn id="4" xr3:uid="{00000000-0010-0000-0200-000004000000}" name="Fevereiro" dataDxfId="430" totalsRowDxfId="429" dataCellStyle="Moeda 2"/>
    <tableColumn id="5" xr3:uid="{00000000-0010-0000-0200-000005000000}" name="Março" dataDxfId="428" totalsRowDxfId="427" dataCellStyle="Moeda 2"/>
    <tableColumn id="6" xr3:uid="{00000000-0010-0000-0200-000006000000}" name="Abril" dataDxfId="426" totalsRowDxfId="425" dataCellStyle="Moeda 2"/>
    <tableColumn id="7" xr3:uid="{00000000-0010-0000-0200-000007000000}" name="Maio" dataDxfId="424" totalsRowDxfId="423" dataCellStyle="Moeda 2"/>
    <tableColumn id="8" xr3:uid="{00000000-0010-0000-0200-000008000000}" name="Junho" dataDxfId="422" totalsRowDxfId="421" dataCellStyle="Moeda 2"/>
    <tableColumn id="9" xr3:uid="{00000000-0010-0000-0200-000009000000}" name="Julho" dataDxfId="420" totalsRowDxfId="419" dataCellStyle="Moeda 2"/>
    <tableColumn id="10" xr3:uid="{00000000-0010-0000-0200-00000A000000}" name="Agosto" dataDxfId="418" totalsRowDxfId="417" dataCellStyle="Moeda 2"/>
    <tableColumn id="11" xr3:uid="{00000000-0010-0000-0200-00000B000000}" name="Setembro" dataDxfId="416" totalsRowDxfId="415" dataCellStyle="Moeda 2"/>
    <tableColumn id="12" xr3:uid="{00000000-0010-0000-0200-00000C000000}" name="Outubro" dataDxfId="414" totalsRowDxfId="413" dataCellStyle="Moeda 2"/>
    <tableColumn id="13" xr3:uid="{00000000-0010-0000-0200-00000D000000}" name="Novembro" dataDxfId="412" totalsRowDxfId="411" dataCellStyle="Moeda 2"/>
    <tableColumn id="14" xr3:uid="{00000000-0010-0000-0200-00000E000000}" name="Dezembro" dataDxfId="410" totalsRowDxfId="409" dataCellStyle="Moeda 2"/>
    <tableColumn id="15" xr3:uid="{00000000-0010-0000-0200-00000F000000}" name="Total" dataDxfId="408" totalsRowDxfId="407" dataCellStyle="Moeda 2">
      <calculatedColumnFormula>SUM(D3:O3)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79F2F054-4F08-4907-A422-1C5D1D5AB33B}" name="TabelaVA" displayName="TabelaVA" ref="A2:P32" totalsRowShown="0" headerRowDxfId="406" dataDxfId="405" tableBorderDxfId="404" dataCellStyle="Moeda 2">
  <tableColumns count="16">
    <tableColumn id="1" xr3:uid="{D3576251-5D60-40D8-8970-617346A501DC}" name="Nº" dataDxfId="403">
      <calculatedColumnFormula>TabelaSalarioBase[[#This Row],[Nº]]</calculatedColumnFormula>
    </tableColumn>
    <tableColumn id="17" xr3:uid="{DA0D6D65-797D-4EFD-949B-41C131232649}" name="Nome" dataDxfId="402">
      <calculatedColumnFormula>TabelaSalarioBase[[#This Row],[Nome]]</calculatedColumnFormula>
    </tableColumn>
    <tableColumn id="2" xr3:uid="{2C551F4A-226F-4666-9231-C741E584CCB7}" name="Cargo" dataDxfId="401">
      <calculatedColumnFormula>TabelaSalarioBase[[#This Row],[Cargo]]</calculatedColumnFormula>
    </tableColumn>
    <tableColumn id="3" xr3:uid="{81DE6093-733A-4EB4-8FEA-439C81B7BD20}" name="Janeiro" dataDxfId="400" dataCellStyle="Moeda 2"/>
    <tableColumn id="4" xr3:uid="{4495776E-65D2-45DB-9602-3D24F637B390}" name="Fevereiro" dataDxfId="399" dataCellStyle="Moeda 2"/>
    <tableColumn id="5" xr3:uid="{02BF237D-2CEF-4C5A-BAEF-15D72D7D5BCB}" name="Março" dataDxfId="398" dataCellStyle="Moeda 2"/>
    <tableColumn id="6" xr3:uid="{2D31E5DC-0434-431B-8427-440E2AE70125}" name="Abril" dataDxfId="397" dataCellStyle="Moeda 2"/>
    <tableColumn id="7" xr3:uid="{4C0784DF-9EB5-4CE0-89C7-6FC4C6B19E04}" name="Maio" dataDxfId="396" dataCellStyle="Moeda 2"/>
    <tableColumn id="8" xr3:uid="{5770CF5C-59DF-4333-AA91-CA97FB4E48E4}" name="Junho" dataDxfId="395" dataCellStyle="Moeda 2"/>
    <tableColumn id="9" xr3:uid="{10F35071-C1CE-4FF6-BFD1-03F0E2005CDB}" name="Julho" dataDxfId="394" dataCellStyle="Moeda 2"/>
    <tableColumn id="10" xr3:uid="{664219E0-C2B1-4536-BB7F-D902A10E4856}" name="Agosto" dataDxfId="393" dataCellStyle="Moeda 2"/>
    <tableColumn id="11" xr3:uid="{E17338BD-F0CA-4014-8429-14C442E3DA1E}" name="Setembro" dataDxfId="392" dataCellStyle="Moeda 2"/>
    <tableColumn id="12" xr3:uid="{03B7EE8A-0FBB-4EF0-89AF-248C585CEED0}" name="Outubro" dataDxfId="391" dataCellStyle="Moeda 2"/>
    <tableColumn id="13" xr3:uid="{94C904A6-AD7A-4883-AC57-4D2B4D331B7C}" name="Novembro" dataDxfId="390" dataCellStyle="Moeda 2"/>
    <tableColumn id="14" xr3:uid="{AEFED680-EFF6-4D4D-90FD-8EA3A4A14826}" name="Dezembro" dataDxfId="389" dataCellStyle="Moeda 2"/>
    <tableColumn id="15" xr3:uid="{BA791046-8A55-4194-A4C0-C1E3102B486C}" name="Total" dataDxfId="388" dataCellStyle="Moeda 2">
      <calculatedColumnFormula>SUM(D3:O3)</calculatedColumnFormula>
    </tableColumn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EA05612E-5C1B-4DD6-A3E7-FCCAC4CC3439}" name="TabelaVR" displayName="TabelaVR" ref="A2:P32" totalsRowShown="0" headerRowDxfId="387" dataDxfId="386" tableBorderDxfId="385" dataCellStyle="Moeda 2">
  <tableColumns count="16">
    <tableColumn id="1" xr3:uid="{566FCFA9-8EA5-4ACA-AAE6-36DBFB1E5E94}" name="Nº" dataDxfId="384">
      <calculatedColumnFormula>TabelaSalarioBase[[#This Row],[Nº]]</calculatedColumnFormula>
    </tableColumn>
    <tableColumn id="17" xr3:uid="{59997CCB-E9E0-4D7E-A742-C5172C110B34}" name="Nome" dataDxfId="383">
      <calculatedColumnFormula>TabelaSalarioBase[[#This Row],[Nome]]</calculatedColumnFormula>
    </tableColumn>
    <tableColumn id="2" xr3:uid="{0E4DE4F1-2630-4019-8C56-1568197E7B92}" name="Cargo" dataDxfId="382">
      <calculatedColumnFormula>TabelaSalarioBase[[#This Row],[Cargo]]</calculatedColumnFormula>
    </tableColumn>
    <tableColumn id="3" xr3:uid="{098F9500-9A4D-449E-A2EC-8CBD47A077DE}" name="Janeiro" dataDxfId="381" dataCellStyle="Moeda 2"/>
    <tableColumn id="4" xr3:uid="{BD7A129B-3075-406A-84BD-1D2EB54C6057}" name="Fevereiro" dataDxfId="380" dataCellStyle="Moeda 2"/>
    <tableColumn id="5" xr3:uid="{DDA513CA-1018-4B46-883D-C85D2A5838A9}" name="Março" dataDxfId="379" dataCellStyle="Moeda 2"/>
    <tableColumn id="6" xr3:uid="{2572533C-4D2C-429C-A260-71EBC8299977}" name="Abril" dataDxfId="378" dataCellStyle="Moeda 2"/>
    <tableColumn id="7" xr3:uid="{58F5DF69-DE8B-4F10-86AB-2BA887F653F9}" name="Maio" dataDxfId="377" dataCellStyle="Moeda 2"/>
    <tableColumn id="8" xr3:uid="{E180918B-8633-475A-951B-427823D7835B}" name="Junho" dataDxfId="376" dataCellStyle="Moeda 2"/>
    <tableColumn id="9" xr3:uid="{EA49F7BA-974B-4EC4-87A7-8E08731AD3BE}" name="Julho" dataDxfId="375" dataCellStyle="Moeda 2"/>
    <tableColumn id="10" xr3:uid="{B048A9D9-D0C4-41E5-B157-F9AF658AE91F}" name="Agosto" dataDxfId="374" dataCellStyle="Moeda 2"/>
    <tableColumn id="11" xr3:uid="{A651E044-8771-440B-AA5F-15EAD7ABDAB5}" name="Setembro" dataDxfId="373" dataCellStyle="Moeda 2"/>
    <tableColumn id="12" xr3:uid="{AB41445A-F859-4E33-BD74-B49EA512679C}" name="Outubro" dataDxfId="372" dataCellStyle="Moeda 2"/>
    <tableColumn id="13" xr3:uid="{E7648E6A-281D-460A-ABCA-903BC90B372F}" name="Novembro" dataDxfId="371" dataCellStyle="Moeda 2"/>
    <tableColumn id="14" xr3:uid="{AA2CEB31-B913-4B8C-8823-CEFFCE6079D6}" name="Dezembro" dataDxfId="370" dataCellStyle="Moeda 2"/>
    <tableColumn id="15" xr3:uid="{BC2EF039-771C-454C-8CCF-C53C3DD4D178}" name="Total" dataDxfId="369" dataCellStyle="Moeda 2">
      <calculatedColumnFormula>SUM(D3:O3)</calculatedColumnFormula>
    </tableColumn>
  </tableColumns>
  <tableStyleInfo name="TableStyleMedium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2205B5D4-C7AF-4B7E-846F-869751344ACA}" name="TabelaVT" displayName="TabelaVT" ref="A2:P32" totalsRowShown="0" headerRowDxfId="368" dataDxfId="367" tableBorderDxfId="366" dataCellStyle="Moeda 2">
  <tableColumns count="16">
    <tableColumn id="1" xr3:uid="{F09DFD8B-5D15-432C-A4C9-6305F29EDFF5}" name="Nº" dataDxfId="365">
      <calculatedColumnFormula>TabelaSalarioBase[[#This Row],[Nº]]</calculatedColumnFormula>
    </tableColumn>
    <tableColumn id="17" xr3:uid="{B62AC04B-6F12-49C6-843F-401ADFB55ABE}" name="Nome" dataDxfId="364">
      <calculatedColumnFormula>TabelaSalarioBase[[#This Row],[Nome]]</calculatedColumnFormula>
    </tableColumn>
    <tableColumn id="2" xr3:uid="{1A247422-4840-4C42-A2BF-678438DE9DB4}" name="Cargo" dataDxfId="363">
      <calculatedColumnFormula>TabelaSalarioBase[[#This Row],[Cargo]]</calculatedColumnFormula>
    </tableColumn>
    <tableColumn id="3" xr3:uid="{A9105800-4CE9-459A-A3F1-681E283D89D9}" name="Janeiro" dataDxfId="362" dataCellStyle="Moeda 2"/>
    <tableColumn id="4" xr3:uid="{9A27936E-B9FA-4C6D-91D8-89766DF52243}" name="Fevereiro" dataDxfId="361" dataCellStyle="Moeda 2"/>
    <tableColumn id="5" xr3:uid="{B5F331FE-6B3A-40C8-A240-5BCA5239D703}" name="Março" dataDxfId="360" dataCellStyle="Moeda 2"/>
    <tableColumn id="6" xr3:uid="{589BBA3E-6AEE-4AC8-B18B-791569806AC2}" name="Abril" dataDxfId="359" dataCellStyle="Moeda 2"/>
    <tableColumn id="7" xr3:uid="{852F7810-0675-40D7-BC9B-3B5CC1EACE21}" name="Maio" dataDxfId="358" dataCellStyle="Moeda 2"/>
    <tableColumn id="8" xr3:uid="{E34B241E-1AA3-4CBD-8BDA-ED01801D917B}" name="Junho" dataDxfId="357" dataCellStyle="Moeda 2"/>
    <tableColumn id="9" xr3:uid="{A5C4EFF1-8647-4F5A-BEFD-6269AC811B98}" name="Julho" dataDxfId="356" dataCellStyle="Moeda 2"/>
    <tableColumn id="10" xr3:uid="{0243386E-30E2-45DE-9BDC-A71EB3C2321E}" name="Agosto" dataDxfId="355" dataCellStyle="Moeda 2"/>
    <tableColumn id="11" xr3:uid="{0A8A4157-9576-4161-BEFC-B8ECB1316E73}" name="Setembro" dataDxfId="354" dataCellStyle="Moeda 2"/>
    <tableColumn id="12" xr3:uid="{46012112-39ED-4A55-B5B0-1FF9C1E28B07}" name="Outubro" dataDxfId="353" dataCellStyle="Moeda 2"/>
    <tableColumn id="13" xr3:uid="{E9B81131-44CB-4F4F-8924-9FC1D89CC22F}" name="Novembro" dataDxfId="352" dataCellStyle="Moeda 2"/>
    <tableColumn id="14" xr3:uid="{2C70A1D7-3840-4B67-BC0D-2423220F2DE3}" name="Dezembro" dataDxfId="351" dataCellStyle="Moeda 2"/>
    <tableColumn id="15" xr3:uid="{2621CC09-3E9A-4454-B8DC-EFEEEEFE79D2}" name="Total" dataDxfId="350" dataCellStyle="Moeda 2">
      <calculatedColumnFormula>SUM(D3:O3)</calculatedColumnFormula>
    </tableColumn>
  </tableColumns>
  <tableStyleInfo name="TableStyleMedium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4000000}" name="TabelaIRPF" displayName="TabelaIRPF" ref="A2:P32" totalsRowShown="0" headerRowDxfId="349" dataDxfId="348" tableBorderDxfId="347" dataCellStyle="Moeda 2">
  <tableColumns count="16">
    <tableColumn id="1" xr3:uid="{00000000-0010-0000-0400-000001000000}" name="Nº" dataDxfId="346">
      <calculatedColumnFormula>TabelaSalarioBase[[#This Row],[Nº]]</calculatedColumnFormula>
    </tableColumn>
    <tableColumn id="16" xr3:uid="{00000000-0010-0000-0400-000010000000}" name="Nome" dataDxfId="345">
      <calculatedColumnFormula>TabelaSalarioBase[[#This Row],[Nome]]</calculatedColumnFormula>
    </tableColumn>
    <tableColumn id="2" xr3:uid="{00000000-0010-0000-0400-000002000000}" name="Cargo" dataDxfId="344">
      <calculatedColumnFormula>TabelaSalarioBase[[#This Row],[Cargo]]</calculatedColumnFormula>
    </tableColumn>
    <tableColumn id="3" xr3:uid="{00000000-0010-0000-0400-000003000000}" name="Janeiro" dataDxfId="343" dataCellStyle="Moeda 2"/>
    <tableColumn id="4" xr3:uid="{00000000-0010-0000-0400-000004000000}" name="Fevereiro" dataDxfId="342" dataCellStyle="Moeda 2"/>
    <tableColumn id="5" xr3:uid="{00000000-0010-0000-0400-000005000000}" name="Março" dataDxfId="341" dataCellStyle="Moeda 2"/>
    <tableColumn id="6" xr3:uid="{00000000-0010-0000-0400-000006000000}" name="Abril" dataDxfId="340" dataCellStyle="Moeda 2"/>
    <tableColumn id="7" xr3:uid="{00000000-0010-0000-0400-000007000000}" name="Maio" dataDxfId="339" dataCellStyle="Moeda 2"/>
    <tableColumn id="8" xr3:uid="{00000000-0010-0000-0400-000008000000}" name="Junho" dataDxfId="338" dataCellStyle="Moeda 2"/>
    <tableColumn id="9" xr3:uid="{00000000-0010-0000-0400-000009000000}" name="Julho" dataDxfId="337" dataCellStyle="Moeda 2"/>
    <tableColumn id="10" xr3:uid="{00000000-0010-0000-0400-00000A000000}" name="Agosto" dataDxfId="336" dataCellStyle="Moeda 2"/>
    <tableColumn id="11" xr3:uid="{00000000-0010-0000-0400-00000B000000}" name="Setembro" dataDxfId="335" dataCellStyle="Moeda 2"/>
    <tableColumn id="12" xr3:uid="{00000000-0010-0000-0400-00000C000000}" name="Outubro" dataDxfId="334" dataCellStyle="Moeda 2"/>
    <tableColumn id="13" xr3:uid="{00000000-0010-0000-0400-00000D000000}" name="Novembro" dataDxfId="333" dataCellStyle="Moeda 2"/>
    <tableColumn id="14" xr3:uid="{00000000-0010-0000-0400-00000E000000}" name="Dezembro" dataDxfId="332" dataCellStyle="Moeda 2"/>
    <tableColumn id="15" xr3:uid="{00000000-0010-0000-0400-00000F000000}" name="Total" dataDxfId="331" dataCellStyle="Moeda 2">
      <calculatedColumnFormula>SUM(D3:O3)</calculatedColumnFormula>
    </tableColumn>
  </tableColumns>
  <tableStyleInfo name="TableStyleMedium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elaINSS" displayName="TabelaINSS" ref="A2:P32" totalsRowShown="0" headerRowDxfId="330" dataDxfId="329" tableBorderDxfId="328" dataCellStyle="Moeda 2">
  <tableColumns count="16">
    <tableColumn id="1" xr3:uid="{00000000-0010-0000-0300-000001000000}" name="Nº" dataDxfId="327">
      <calculatedColumnFormula>TabelaSalarioBase[[#This Row],[Nº]]</calculatedColumnFormula>
    </tableColumn>
    <tableColumn id="17" xr3:uid="{00000000-0010-0000-0300-000011000000}" name="Nome" dataDxfId="326">
      <calculatedColumnFormula>TabelaSalarioBase[[#This Row],[Nome]]</calculatedColumnFormula>
    </tableColumn>
    <tableColumn id="2" xr3:uid="{00000000-0010-0000-0300-000002000000}" name="Cargo" dataDxfId="325">
      <calculatedColumnFormula>TabelaSalarioBase[[#This Row],[Cargo]]</calculatedColumnFormula>
    </tableColumn>
    <tableColumn id="3" xr3:uid="{00000000-0010-0000-0300-000003000000}" name="Janeiro" dataDxfId="324" dataCellStyle="Moeda 2"/>
    <tableColumn id="4" xr3:uid="{00000000-0010-0000-0300-000004000000}" name="Fevereiro" dataDxfId="323" dataCellStyle="Moeda 2"/>
    <tableColumn id="5" xr3:uid="{00000000-0010-0000-0300-000005000000}" name="Março" dataDxfId="322" dataCellStyle="Moeda 2"/>
    <tableColumn id="6" xr3:uid="{00000000-0010-0000-0300-000006000000}" name="Abril" dataDxfId="321" dataCellStyle="Moeda 2"/>
    <tableColumn id="7" xr3:uid="{00000000-0010-0000-0300-000007000000}" name="Maio" dataDxfId="320" dataCellStyle="Moeda 2"/>
    <tableColumn id="8" xr3:uid="{00000000-0010-0000-0300-000008000000}" name="Junho" dataDxfId="319" dataCellStyle="Moeda 2"/>
    <tableColumn id="9" xr3:uid="{00000000-0010-0000-0300-000009000000}" name="Julho" dataDxfId="318" dataCellStyle="Moeda 2"/>
    <tableColumn id="10" xr3:uid="{00000000-0010-0000-0300-00000A000000}" name="Agosto" dataDxfId="317" dataCellStyle="Moeda 2"/>
    <tableColumn id="11" xr3:uid="{00000000-0010-0000-0300-00000B000000}" name="Setembro" dataDxfId="316" dataCellStyle="Moeda 2"/>
    <tableColumn id="12" xr3:uid="{00000000-0010-0000-0300-00000C000000}" name="Outubro" dataDxfId="315" dataCellStyle="Moeda 2"/>
    <tableColumn id="13" xr3:uid="{00000000-0010-0000-0300-00000D000000}" name="Novembro" dataDxfId="314" dataCellStyle="Moeda 2"/>
    <tableColumn id="14" xr3:uid="{00000000-0010-0000-0300-00000E000000}" name="Dezembro" dataDxfId="313" dataCellStyle="Moeda 2"/>
    <tableColumn id="15" xr3:uid="{00000000-0010-0000-0300-00000F000000}" name="Total" dataDxfId="312" dataCellStyle="Moeda 2">
      <calculatedColumnFormula>SUM(D3:O3)</calculatedColumnFormula>
    </tableColumn>
  </tableColumns>
  <tableStyleInfo name="TableStyleMedium6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5000000}" name="TabelaFGTS" displayName="TabelaFGTS" ref="A2:Q32" totalsRowShown="0" headerRowDxfId="311" dataDxfId="310" tableBorderDxfId="309" dataCellStyle="Moeda 2">
  <tableColumns count="17">
    <tableColumn id="1" xr3:uid="{00000000-0010-0000-0500-000001000000}" name="Nº" dataDxfId="308">
      <calculatedColumnFormula>TabelaSalarioBase[[#This Row],[Nº]]</calculatedColumnFormula>
    </tableColumn>
    <tableColumn id="17" xr3:uid="{00000000-0010-0000-0500-000011000000}" name="Nome" dataDxfId="307">
      <calculatedColumnFormula>TabelaSalarioBase[[#This Row],[Nome]]</calculatedColumnFormula>
    </tableColumn>
    <tableColumn id="2" xr3:uid="{00000000-0010-0000-0500-000002000000}" name="Cargo" dataDxfId="306">
      <calculatedColumnFormula>TabelaSalarioBase[[#This Row],[Cargo]]</calculatedColumnFormula>
    </tableColumn>
    <tableColumn id="16" xr3:uid="{00000000-0010-0000-0500-000010000000}" name="Alíquota" dataDxfId="305" dataCellStyle="Porcentagem"/>
    <tableColumn id="3" xr3:uid="{00000000-0010-0000-0500-000003000000}" name="Janeiro" dataDxfId="304" dataCellStyle="Moeda 2"/>
    <tableColumn id="4" xr3:uid="{00000000-0010-0000-0500-000004000000}" name="Fevereiro" dataDxfId="303" dataCellStyle="Moeda 2"/>
    <tableColumn id="5" xr3:uid="{00000000-0010-0000-0500-000005000000}" name="Março" dataDxfId="302" dataCellStyle="Moeda 2"/>
    <tableColumn id="6" xr3:uid="{00000000-0010-0000-0500-000006000000}" name="Abril" dataDxfId="301" dataCellStyle="Moeda 2"/>
    <tableColumn id="7" xr3:uid="{00000000-0010-0000-0500-000007000000}" name="Maio" dataDxfId="300" dataCellStyle="Moeda 2"/>
    <tableColumn id="8" xr3:uid="{00000000-0010-0000-0500-000008000000}" name="Junho" dataDxfId="299" dataCellStyle="Moeda 2"/>
    <tableColumn id="9" xr3:uid="{00000000-0010-0000-0500-000009000000}" name="Julho" dataDxfId="298" dataCellStyle="Moeda 2"/>
    <tableColumn id="10" xr3:uid="{00000000-0010-0000-0500-00000A000000}" name="Agosto" dataDxfId="297" dataCellStyle="Moeda 2"/>
    <tableColumn id="11" xr3:uid="{00000000-0010-0000-0500-00000B000000}" name="Setembro" dataDxfId="296" dataCellStyle="Moeda 2"/>
    <tableColumn id="12" xr3:uid="{00000000-0010-0000-0500-00000C000000}" name="Outubro" dataDxfId="295" dataCellStyle="Moeda 2"/>
    <tableColumn id="13" xr3:uid="{00000000-0010-0000-0500-00000D000000}" name="Novembro" dataDxfId="294" dataCellStyle="Moeda 2"/>
    <tableColumn id="14" xr3:uid="{00000000-0010-0000-0500-00000E000000}" name="Dezembro" dataDxfId="293" dataCellStyle="Moeda 2"/>
    <tableColumn id="15" xr3:uid="{00000000-0010-0000-0500-00000F000000}" name="Total" dataDxfId="292" dataCellStyle="Moeda 2">
      <calculatedColumnFormula>SUM(E3:P3)</calculatedColumnFormula>
    </tableColumn>
  </tableColumns>
  <tableStyleInfo name="TableStyleMedium6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6000000}" name="TabelaINSSPatronal" displayName="TabelaINSSPatronal" ref="A2:Q32" totalsRowShown="0" headerRowDxfId="291" dataDxfId="290" tableBorderDxfId="289" dataCellStyle="Moeda 2">
  <tableColumns count="17">
    <tableColumn id="1" xr3:uid="{00000000-0010-0000-0600-000001000000}" name="Nº" dataDxfId="288">
      <calculatedColumnFormula>TabelaSalarioBase[[#This Row],[Nº]]</calculatedColumnFormula>
    </tableColumn>
    <tableColumn id="17" xr3:uid="{00000000-0010-0000-0600-000011000000}" name="Nome" dataDxfId="287">
      <calculatedColumnFormula>TabelaSalarioBase[[#This Row],[Nome]]</calculatedColumnFormula>
    </tableColumn>
    <tableColumn id="2" xr3:uid="{00000000-0010-0000-0600-000002000000}" name="Cargo" dataDxfId="286">
      <calculatedColumnFormula>TabelaSalarioBase[[#This Row],[Cargo]]</calculatedColumnFormula>
    </tableColumn>
    <tableColumn id="16" xr3:uid="{00000000-0010-0000-0600-000010000000}" name="Alíquota" dataDxfId="285" dataCellStyle="Porcentagem"/>
    <tableColumn id="3" xr3:uid="{00000000-0010-0000-0600-000003000000}" name="Janeiro" dataDxfId="284" dataCellStyle="Moeda 2"/>
    <tableColumn id="4" xr3:uid="{00000000-0010-0000-0600-000004000000}" name="Fevereiro" dataDxfId="283" dataCellStyle="Moeda 2"/>
    <tableColumn id="5" xr3:uid="{00000000-0010-0000-0600-000005000000}" name="Março" dataDxfId="282" dataCellStyle="Moeda 2"/>
    <tableColumn id="6" xr3:uid="{00000000-0010-0000-0600-000006000000}" name="Abril" dataDxfId="281" dataCellStyle="Moeda 2"/>
    <tableColumn id="7" xr3:uid="{00000000-0010-0000-0600-000007000000}" name="Maio" dataDxfId="280" dataCellStyle="Moeda 2"/>
    <tableColumn id="8" xr3:uid="{00000000-0010-0000-0600-000008000000}" name="Junho" dataDxfId="279" dataCellStyle="Moeda 2"/>
    <tableColumn id="9" xr3:uid="{00000000-0010-0000-0600-000009000000}" name="Julho" dataDxfId="278" dataCellStyle="Moeda 2"/>
    <tableColumn id="10" xr3:uid="{00000000-0010-0000-0600-00000A000000}" name="Agosto" dataDxfId="277" dataCellStyle="Moeda 2"/>
    <tableColumn id="11" xr3:uid="{00000000-0010-0000-0600-00000B000000}" name="Setembro" dataDxfId="276" dataCellStyle="Moeda 2"/>
    <tableColumn id="12" xr3:uid="{00000000-0010-0000-0600-00000C000000}" name="Outubro" dataDxfId="275" dataCellStyle="Moeda 2"/>
    <tableColumn id="13" xr3:uid="{00000000-0010-0000-0600-00000D000000}" name="Novembro" dataDxfId="274" dataCellStyle="Moeda 2"/>
    <tableColumn id="14" xr3:uid="{00000000-0010-0000-0600-00000E000000}" name="Dezembro" dataDxfId="273" dataCellStyle="Moeda 2"/>
    <tableColumn id="15" xr3:uid="{00000000-0010-0000-0600-00000F000000}" name="Total" dataDxfId="272" dataCellStyle="Moeda 2">
      <calculatedColumnFormula>SUM(E3:P3)</calculatedColumnFormula>
    </tableColumn>
  </tableColumns>
  <tableStyleInfo name="TableStyleMedium6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elaPIS" displayName="TabelaPIS" ref="A2:Q32" totalsRowShown="0" headerRowDxfId="271" dataDxfId="270" tableBorderDxfId="269" dataCellStyle="Moeda 2">
  <tableColumns count="17">
    <tableColumn id="1" xr3:uid="{00000000-0010-0000-0700-000001000000}" name="Nº" dataDxfId="268">
      <calculatedColumnFormula>TabelaSalarioBase[[#This Row],[Nº]]</calculatedColumnFormula>
    </tableColumn>
    <tableColumn id="17" xr3:uid="{00000000-0010-0000-0700-000011000000}" name="Nome" dataDxfId="267">
      <calculatedColumnFormula>TabelaSalarioBase[[#This Row],[Nome]]</calculatedColumnFormula>
    </tableColumn>
    <tableColumn id="2" xr3:uid="{00000000-0010-0000-0700-000002000000}" name="Cargo" dataDxfId="266">
      <calculatedColumnFormula>TabelaSalarioBase[[#This Row],[Cargo]]</calculatedColumnFormula>
    </tableColumn>
    <tableColumn id="16" xr3:uid="{00000000-0010-0000-0700-000010000000}" name="Alíquota" dataDxfId="265" dataCellStyle="Porcentagem"/>
    <tableColumn id="3" xr3:uid="{00000000-0010-0000-0700-000003000000}" name="Janeiro" dataDxfId="264" dataCellStyle="Moeda 2"/>
    <tableColumn id="4" xr3:uid="{00000000-0010-0000-0700-000004000000}" name="Fevereiro" dataDxfId="263" dataCellStyle="Moeda 2"/>
    <tableColumn id="5" xr3:uid="{00000000-0010-0000-0700-000005000000}" name="Março" dataDxfId="262" dataCellStyle="Moeda 2"/>
    <tableColumn id="6" xr3:uid="{00000000-0010-0000-0700-000006000000}" name="Abril" dataDxfId="261" dataCellStyle="Moeda 2"/>
    <tableColumn id="7" xr3:uid="{00000000-0010-0000-0700-000007000000}" name="Maio" dataDxfId="260" dataCellStyle="Moeda 2"/>
    <tableColumn id="8" xr3:uid="{00000000-0010-0000-0700-000008000000}" name="Junho" dataDxfId="259" dataCellStyle="Moeda 2"/>
    <tableColumn id="9" xr3:uid="{00000000-0010-0000-0700-000009000000}" name="Julho" dataDxfId="258" dataCellStyle="Moeda 2"/>
    <tableColumn id="10" xr3:uid="{00000000-0010-0000-0700-00000A000000}" name="Agosto" dataDxfId="257" dataCellStyle="Moeda 2"/>
    <tableColumn id="11" xr3:uid="{00000000-0010-0000-0700-00000B000000}" name="Setembro" dataDxfId="256" dataCellStyle="Moeda 2"/>
    <tableColumn id="12" xr3:uid="{00000000-0010-0000-0700-00000C000000}" name="Outubro" dataDxfId="255" dataCellStyle="Moeda 2"/>
    <tableColumn id="13" xr3:uid="{00000000-0010-0000-0700-00000D000000}" name="Novembro" dataDxfId="254" dataCellStyle="Moeda 2"/>
    <tableColumn id="14" xr3:uid="{00000000-0010-0000-0700-00000E000000}" name="Dezembro" dataDxfId="253" dataCellStyle="Moeda 2"/>
    <tableColumn id="15" xr3:uid="{00000000-0010-0000-0700-00000F000000}" name="Total" dataDxfId="252" dataCellStyle="Moeda 2">
      <calculatedColumnFormula>SUM(E3:P3)</calculatedColumnFormula>
    </tableColumn>
  </tableColumns>
  <tableStyleInfo name="TableStyleMedium6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ela13Salario" displayName="Tabela13Salario" ref="A2:K32" totalsRowShown="0" headerRowDxfId="251" dataDxfId="250" tableBorderDxfId="249" dataCellStyle="Moeda 2">
  <tableColumns count="11">
    <tableColumn id="1" xr3:uid="{00000000-0010-0000-0800-000001000000}" name="Nº" dataDxfId="248">
      <calculatedColumnFormula>TabelaSalarioBase[[#This Row],[Nº]]</calculatedColumnFormula>
    </tableColumn>
    <tableColumn id="17" xr3:uid="{00000000-0010-0000-0800-000011000000}" name="Nome" dataDxfId="247">
      <calculatedColumnFormula>TabelaSalarioBase[[#This Row],[Nome]]</calculatedColumnFormula>
    </tableColumn>
    <tableColumn id="2" xr3:uid="{00000000-0010-0000-0800-000002000000}" name="Cargo" dataDxfId="246">
      <calculatedColumnFormula>TabelaSalarioBase[[#This Row],[Cargo]]</calculatedColumnFormula>
    </tableColumn>
    <tableColumn id="3" xr3:uid="{00000000-0010-0000-0800-000003000000}" name="Novembro" dataDxfId="245" dataCellStyle="Moeda 2"/>
    <tableColumn id="9" xr3:uid="{C697B61D-5EC8-4E67-9197-CFA92784DC2D}" name="Dezembro" dataDxfId="244" dataCellStyle="Moeda 2"/>
    <tableColumn id="4" xr3:uid="{00000000-0010-0000-0800-000004000000}" name="IRPF" dataDxfId="243" dataCellStyle="Moeda 2"/>
    <tableColumn id="5" xr3:uid="{00000000-0010-0000-0800-000005000000}" name="INSS" dataDxfId="242" dataCellStyle="Moeda 2"/>
    <tableColumn id="6" xr3:uid="{00000000-0010-0000-0800-000006000000}" name="FGTS" dataDxfId="241" dataCellStyle="Moeda 2"/>
    <tableColumn id="7" xr3:uid="{00000000-0010-0000-0800-000007000000}" name="INSS Patronal" dataDxfId="240" dataCellStyle="Moeda 2"/>
    <tableColumn id="8" xr3:uid="{00000000-0010-0000-0800-000008000000}" name="PIS" dataDxfId="239" dataCellStyle="Moeda 2"/>
    <tableColumn id="15" xr3:uid="{00000000-0010-0000-0800-00000F000000}" name="Total" dataDxfId="238" dataCellStyle="Moeda 2">
      <calculatedColumnFormula>SUM(D3:J3)</calculatedColumnFormula>
    </tableColumn>
  </tableColumns>
  <tableStyleInfo name="TableStyleMedium6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A000000}" name="TabelaFERIAS" displayName="TabelaFERIAS" ref="A2:K32" totalsRowShown="0" headerRowDxfId="237" dataDxfId="236" tableBorderDxfId="235" dataCellStyle="Moeda 2">
  <tableColumns count="11">
    <tableColumn id="1" xr3:uid="{00000000-0010-0000-0A00-000001000000}" name="Nº" dataDxfId="234">
      <calculatedColumnFormula>TabelaSalarioBase[[#This Row],[Nº]]</calculatedColumnFormula>
    </tableColumn>
    <tableColumn id="17" xr3:uid="{00000000-0010-0000-0A00-000011000000}" name="Nome" dataDxfId="233">
      <calculatedColumnFormula>TabelaSalarioBase[[#This Row],[Nome]]</calculatedColumnFormula>
    </tableColumn>
    <tableColumn id="2" xr3:uid="{00000000-0010-0000-0A00-000002000000}" name="Cargo" dataDxfId="232">
      <calculatedColumnFormula>TabelaSalarioBase[[#This Row],[Cargo]]</calculatedColumnFormula>
    </tableColumn>
    <tableColumn id="3" xr3:uid="{00000000-0010-0000-0A00-000003000000}" name="1/3 Férias" dataDxfId="231" dataCellStyle="Moeda 2"/>
    <tableColumn id="16" xr3:uid="{00000000-0010-0000-0A00-000010000000}" name="Parcela" dataDxfId="230" dataCellStyle="Moeda 2"/>
    <tableColumn id="4" xr3:uid="{00000000-0010-0000-0A00-000004000000}" name="IRPF" dataDxfId="229" dataCellStyle="Moeda 2"/>
    <tableColumn id="5" xr3:uid="{00000000-0010-0000-0A00-000005000000}" name="INSS" dataDxfId="228" dataCellStyle="Moeda 2"/>
    <tableColumn id="6" xr3:uid="{00000000-0010-0000-0A00-000006000000}" name="FGTS" dataDxfId="227" dataCellStyle="Moeda 2"/>
    <tableColumn id="7" xr3:uid="{00000000-0010-0000-0A00-000007000000}" name="INSS Patronal" dataDxfId="226" dataCellStyle="Moeda 2"/>
    <tableColumn id="8" xr3:uid="{00000000-0010-0000-0A00-000008000000}" name="PIS" dataDxfId="225" dataCellStyle="Moeda 2"/>
    <tableColumn id="15" xr3:uid="{00000000-0010-0000-0A00-00000F000000}" name="Total" dataDxfId="224" dataCellStyle="Moeda 2">
      <calculatedColumnFormula>SUM(D3:J3)</calculatedColumnFormula>
    </tableColumn>
  </tableColumns>
  <tableStyleInfo name="TableStyleMedium6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D000000}" name="TabelaMultaRescisoriaFGTS" displayName="TabelaMultaRescisoriaFGTS" ref="A2:P32" totalsRowShown="0" headerRowDxfId="223" dataDxfId="222" tableBorderDxfId="221" dataCellStyle="Moeda 2">
  <tableColumns count="16">
    <tableColumn id="1" xr3:uid="{00000000-0010-0000-0D00-000001000000}" name="Nº" dataDxfId="220">
      <calculatedColumnFormula>TabelaSalarioBase[[#This Row],[Nº]]</calculatedColumnFormula>
    </tableColumn>
    <tableColumn id="17" xr3:uid="{00000000-0010-0000-0D00-000011000000}" name="Nome" dataDxfId="219">
      <calculatedColumnFormula>TabelaSalarioBase[[#This Row],[Nome]]</calculatedColumnFormula>
    </tableColumn>
    <tableColumn id="2" xr3:uid="{00000000-0010-0000-0D00-000002000000}" name="Cargo" dataDxfId="218">
      <calculatedColumnFormula>TabelaSalarioBase[[#This Row],[Cargo]]</calculatedColumnFormula>
    </tableColumn>
    <tableColumn id="3" xr3:uid="{00000000-0010-0000-0D00-000003000000}" name="Janeiro" dataDxfId="217" dataCellStyle="Moeda 2"/>
    <tableColumn id="4" xr3:uid="{00000000-0010-0000-0D00-000004000000}" name="Fevereiro" dataDxfId="216" dataCellStyle="Moeda 2"/>
    <tableColumn id="5" xr3:uid="{00000000-0010-0000-0D00-000005000000}" name="Março" dataDxfId="215" dataCellStyle="Moeda 2"/>
    <tableColumn id="6" xr3:uid="{00000000-0010-0000-0D00-000006000000}" name="Abril" dataDxfId="214" dataCellStyle="Moeda 2"/>
    <tableColumn id="7" xr3:uid="{00000000-0010-0000-0D00-000007000000}" name="Maio" dataDxfId="213" dataCellStyle="Moeda 2"/>
    <tableColumn id="8" xr3:uid="{00000000-0010-0000-0D00-000008000000}" name="Junho" dataDxfId="212" dataCellStyle="Moeda 2"/>
    <tableColumn id="9" xr3:uid="{00000000-0010-0000-0D00-000009000000}" name="Julho" dataDxfId="211" dataCellStyle="Moeda 2"/>
    <tableColumn id="10" xr3:uid="{00000000-0010-0000-0D00-00000A000000}" name="Agosto" dataDxfId="210" dataCellStyle="Moeda 2"/>
    <tableColumn id="11" xr3:uid="{00000000-0010-0000-0D00-00000B000000}" name="Setembro" dataDxfId="209" dataCellStyle="Moeda 2"/>
    <tableColumn id="12" xr3:uid="{00000000-0010-0000-0D00-00000C000000}" name="Outubro" dataDxfId="208" dataCellStyle="Moeda 2"/>
    <tableColumn id="13" xr3:uid="{00000000-0010-0000-0D00-00000D000000}" name="Novembro" dataDxfId="207" dataCellStyle="Moeda 2"/>
    <tableColumn id="14" xr3:uid="{00000000-0010-0000-0D00-00000E000000}" name="Dezembro" dataDxfId="206" dataCellStyle="Moeda 2"/>
    <tableColumn id="15" xr3:uid="{00000000-0010-0000-0D00-00000F000000}" name="Total" dataDxfId="205" dataCellStyle="Moeda 2">
      <calculatedColumnFormula>SUM(D3:O3)</calculatedColumnFormula>
    </tableColumn>
  </tableColumns>
  <tableStyleInfo name="TableStyleMedium6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0000000-000C-0000-FFFF-FFFF0E000000}" name="TabelaRH6" displayName="TabelaRH6" ref="A2:P12" totalsRowShown="0" headerRowDxfId="204" dataDxfId="203" tableBorderDxfId="202" dataCellStyle="Moeda 2">
  <tableColumns count="16">
    <tableColumn id="1" xr3:uid="{00000000-0010-0000-0E00-000001000000}" name="Nº" dataDxfId="201">
      <calculatedColumnFormula>TabelaSalarioBase[[#This Row],[Nº]]</calculatedColumnFormula>
    </tableColumn>
    <tableColumn id="17" xr3:uid="{00000000-0010-0000-0E00-000011000000}" name="Nome" dataDxfId="200"/>
    <tableColumn id="2" xr3:uid="{00000000-0010-0000-0E00-000002000000}" name="Vínculo" dataDxfId="199"/>
    <tableColumn id="3" xr3:uid="{00000000-0010-0000-0E00-000003000000}" name="Janeiro" dataDxfId="198" dataCellStyle="Moeda 2"/>
    <tableColumn id="4" xr3:uid="{00000000-0010-0000-0E00-000004000000}" name="Fevereiro" dataDxfId="197" dataCellStyle="Moeda 2"/>
    <tableColumn id="5" xr3:uid="{00000000-0010-0000-0E00-000005000000}" name="Março" dataDxfId="196" dataCellStyle="Moeda 2"/>
    <tableColumn id="6" xr3:uid="{00000000-0010-0000-0E00-000006000000}" name="Abril" dataDxfId="195" dataCellStyle="Moeda 2"/>
    <tableColumn id="7" xr3:uid="{00000000-0010-0000-0E00-000007000000}" name="Maio" dataDxfId="194" dataCellStyle="Moeda 2"/>
    <tableColumn id="8" xr3:uid="{00000000-0010-0000-0E00-000008000000}" name="Junho" dataDxfId="193" dataCellStyle="Moeda 2"/>
    <tableColumn id="9" xr3:uid="{00000000-0010-0000-0E00-000009000000}" name="Julho" dataDxfId="192" dataCellStyle="Moeda 2"/>
    <tableColumn id="10" xr3:uid="{00000000-0010-0000-0E00-00000A000000}" name="Agosto" dataDxfId="191" dataCellStyle="Moeda 2"/>
    <tableColumn id="11" xr3:uid="{00000000-0010-0000-0E00-00000B000000}" name="Setembro" dataDxfId="190" dataCellStyle="Moeda 2"/>
    <tableColumn id="12" xr3:uid="{00000000-0010-0000-0E00-00000C000000}" name="Outubro" dataDxfId="189" dataCellStyle="Moeda 2"/>
    <tableColumn id="13" xr3:uid="{00000000-0010-0000-0E00-00000D000000}" name="Novembro" dataDxfId="188" dataCellStyle="Moeda 2"/>
    <tableColumn id="14" xr3:uid="{00000000-0010-0000-0E00-00000E000000}" name="Dezembro" dataDxfId="187" dataCellStyle="Moeda 2"/>
    <tableColumn id="15" xr3:uid="{00000000-0010-0000-0E00-00000F000000}" name="Total" dataDxfId="186" dataCellStyle="Moeda 2">
      <calculatedColumnFormula>SUM(D3:O3)</calculatedColumnFormula>
    </tableColumn>
  </tableColumns>
  <tableStyleInfo name="TableStyleMedium6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00000000-000C-0000-FFFF-FFFF0F000000}" name="TabelaMCGA" displayName="TabelaMCGA" ref="A2:P12" totalsRowShown="0" headerRowDxfId="185" dataDxfId="184" tableBorderDxfId="183" dataCellStyle="Moeda 2">
  <tableColumns count="16">
    <tableColumn id="1" xr3:uid="{00000000-0010-0000-0F00-000001000000}" name="Nº" dataDxfId="182">
      <calculatedColumnFormula>TabelaSalarioBase[[#This Row],[Nº]]</calculatedColumnFormula>
    </tableColumn>
    <tableColumn id="16" xr3:uid="{00000000-0010-0000-0F00-000010000000}" name="Descrição" dataDxfId="181"/>
    <tableColumn id="17" xr3:uid="{00000000-0010-0000-0F00-000011000000}" name="Classificação" dataDxfId="180"/>
    <tableColumn id="3" xr3:uid="{00000000-0010-0000-0F00-000003000000}" name="Janeiro" dataDxfId="179" dataCellStyle="Moeda 2"/>
    <tableColumn id="4" xr3:uid="{00000000-0010-0000-0F00-000004000000}" name="Fevereiro" dataDxfId="178" dataCellStyle="Moeda 2"/>
    <tableColumn id="5" xr3:uid="{00000000-0010-0000-0F00-000005000000}" name="Março" dataDxfId="177" dataCellStyle="Moeda 2"/>
    <tableColumn id="6" xr3:uid="{00000000-0010-0000-0F00-000006000000}" name="Abril" dataDxfId="176" dataCellStyle="Moeda 2"/>
    <tableColumn id="7" xr3:uid="{00000000-0010-0000-0F00-000007000000}" name="Maio" dataDxfId="175" dataCellStyle="Moeda 2"/>
    <tableColumn id="8" xr3:uid="{00000000-0010-0000-0F00-000008000000}" name="Junho" dataDxfId="174" dataCellStyle="Moeda 2"/>
    <tableColumn id="9" xr3:uid="{00000000-0010-0000-0F00-000009000000}" name="Julho" dataDxfId="173" dataCellStyle="Moeda 2"/>
    <tableColumn id="10" xr3:uid="{00000000-0010-0000-0F00-00000A000000}" name="Agosto" dataDxfId="172" dataCellStyle="Moeda 2"/>
    <tableColumn id="11" xr3:uid="{00000000-0010-0000-0F00-00000B000000}" name="Setembro" dataDxfId="171" dataCellStyle="Moeda 2"/>
    <tableColumn id="12" xr3:uid="{00000000-0010-0000-0F00-00000C000000}" name="Outubro" dataDxfId="170" dataCellStyle="Moeda 2"/>
    <tableColumn id="13" xr3:uid="{00000000-0010-0000-0F00-00000D000000}" name="Novembro" dataDxfId="169" dataCellStyle="Moeda 2"/>
    <tableColumn id="14" xr3:uid="{00000000-0010-0000-0F00-00000E000000}" name="Dezembro" dataDxfId="168" dataCellStyle="Moeda 2"/>
    <tableColumn id="15" xr3:uid="{00000000-0010-0000-0F00-00000F000000}" name="Total" dataDxfId="167" dataCellStyle="Moeda 2">
      <calculatedColumnFormula>SUM(D3:O3)</calculatedColumnFormula>
    </tableColumn>
  </tableColumns>
  <tableStyleInfo name="TableStyleMedium6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0000000-000C-0000-FFFF-FFFF10000000}" name="TabelaServicosTerceiros" displayName="TabelaServicosTerceiros" ref="A2:P12" totalsRowShown="0" headerRowDxfId="166" dataDxfId="165" tableBorderDxfId="164" dataCellStyle="Moeda 2">
  <tableColumns count="16">
    <tableColumn id="1" xr3:uid="{00000000-0010-0000-1000-000001000000}" name="Nº" dataDxfId="163">
      <calculatedColumnFormula>TabelaSalarioBase[[#This Row],[Nº]]</calculatedColumnFormula>
    </tableColumn>
    <tableColumn id="16" xr3:uid="{00000000-0010-0000-1000-000010000000}" name="Descrição" dataDxfId="162"/>
    <tableColumn id="17" xr3:uid="{00000000-0010-0000-1000-000011000000}" name="Classificação" dataDxfId="161"/>
    <tableColumn id="3" xr3:uid="{00000000-0010-0000-1000-000003000000}" name="Janeiro" dataDxfId="160" dataCellStyle="Moeda 2"/>
    <tableColumn id="4" xr3:uid="{00000000-0010-0000-1000-000004000000}" name="Fevereiro" dataDxfId="159" dataCellStyle="Moeda 2"/>
    <tableColumn id="5" xr3:uid="{00000000-0010-0000-1000-000005000000}" name="Março" dataDxfId="158" dataCellStyle="Moeda 2"/>
    <tableColumn id="6" xr3:uid="{00000000-0010-0000-1000-000006000000}" name="Abril" dataDxfId="157" dataCellStyle="Moeda 2"/>
    <tableColumn id="7" xr3:uid="{00000000-0010-0000-1000-000007000000}" name="Maio" dataDxfId="156" dataCellStyle="Moeda 2"/>
    <tableColumn id="8" xr3:uid="{00000000-0010-0000-1000-000008000000}" name="Junho" dataDxfId="155" dataCellStyle="Moeda 2"/>
    <tableColumn id="9" xr3:uid="{00000000-0010-0000-1000-000009000000}" name="Julho" dataDxfId="154" dataCellStyle="Moeda 2"/>
    <tableColumn id="10" xr3:uid="{00000000-0010-0000-1000-00000A000000}" name="Agosto" dataDxfId="153" dataCellStyle="Moeda 2"/>
    <tableColumn id="11" xr3:uid="{00000000-0010-0000-1000-00000B000000}" name="Setembro" dataDxfId="152" dataCellStyle="Moeda 2"/>
    <tableColumn id="12" xr3:uid="{00000000-0010-0000-1000-00000C000000}" name="Outubro" dataDxfId="151" dataCellStyle="Moeda 2"/>
    <tableColumn id="13" xr3:uid="{00000000-0010-0000-1000-00000D000000}" name="Novembro" dataDxfId="150" dataCellStyle="Moeda 2"/>
    <tableColumn id="14" xr3:uid="{00000000-0010-0000-1000-00000E000000}" name="Dezembro" dataDxfId="149" dataCellStyle="Moeda 2"/>
    <tableColumn id="15" xr3:uid="{00000000-0010-0000-1000-00000F000000}" name="Total" dataDxfId="148" dataCellStyle="Moeda 2">
      <calculatedColumnFormula>SUM(D3:O3)</calculatedColumnFormula>
    </tableColumn>
  </tableColumns>
  <tableStyleInfo name="TableStyleMedium6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00000000-000C-0000-FFFF-FFFF11000000}" name="TabelaUtilidadesPublicas" displayName="TabelaUtilidadesPublicas" ref="A2:O6" totalsRowShown="0" headerRowDxfId="147" dataDxfId="146" tableBorderDxfId="145" dataCellStyle="Moeda 2">
  <tableColumns count="15">
    <tableColumn id="1" xr3:uid="{00000000-0010-0000-1100-000001000000}" name="Nº" dataDxfId="144">
      <calculatedColumnFormula>TabelaSalarioBase[[#This Row],[Nº]]</calculatedColumnFormula>
    </tableColumn>
    <tableColumn id="17" xr3:uid="{00000000-0010-0000-1100-000011000000}" name="Classificação" dataDxfId="143"/>
    <tableColumn id="3" xr3:uid="{00000000-0010-0000-1100-000003000000}" name="Janeiro" dataDxfId="142" dataCellStyle="Moeda 2"/>
    <tableColumn id="4" xr3:uid="{00000000-0010-0000-1100-000004000000}" name="Fevereiro" dataDxfId="141" dataCellStyle="Moeda 2"/>
    <tableColumn id="5" xr3:uid="{00000000-0010-0000-1100-000005000000}" name="Março" dataDxfId="140" dataCellStyle="Moeda 2"/>
    <tableColumn id="6" xr3:uid="{00000000-0010-0000-1100-000006000000}" name="Abril" dataDxfId="139" dataCellStyle="Moeda 2"/>
    <tableColumn id="7" xr3:uid="{00000000-0010-0000-1100-000007000000}" name="Maio" dataDxfId="138" dataCellStyle="Moeda 2"/>
    <tableColumn id="8" xr3:uid="{00000000-0010-0000-1100-000008000000}" name="Junho" dataDxfId="137" dataCellStyle="Moeda 2"/>
    <tableColumn id="9" xr3:uid="{00000000-0010-0000-1100-000009000000}" name="Julho" dataDxfId="136" dataCellStyle="Moeda 2"/>
    <tableColumn id="10" xr3:uid="{00000000-0010-0000-1100-00000A000000}" name="Agosto" dataDxfId="135" dataCellStyle="Moeda 2"/>
    <tableColumn id="11" xr3:uid="{00000000-0010-0000-1100-00000B000000}" name="Setembro" dataDxfId="134" dataCellStyle="Moeda 2"/>
    <tableColumn id="12" xr3:uid="{00000000-0010-0000-1100-00000C000000}" name="Outubro" dataDxfId="133" dataCellStyle="Moeda 2"/>
    <tableColumn id="13" xr3:uid="{00000000-0010-0000-1100-00000D000000}" name="Novembro" dataDxfId="132" dataCellStyle="Moeda 2"/>
    <tableColumn id="14" xr3:uid="{00000000-0010-0000-1100-00000E000000}" name="Dezembro" dataDxfId="131" dataCellStyle="Moeda 2"/>
    <tableColumn id="15" xr3:uid="{00000000-0010-0000-1100-00000F000000}" name="Total" dataDxfId="130" dataCellStyle="Moeda 2">
      <calculatedColumnFormula>SUM(C3:N3)</calculatedColumnFormula>
    </tableColumn>
  </tableColumns>
  <tableStyleInfo name="TableStyleMedium6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00000000-000C-0000-FFFF-FFFF12000000}" name="TabelaLocacao" displayName="TabelaLocacao" ref="A2:P12" totalsRowShown="0" headerRowDxfId="129" dataDxfId="128" tableBorderDxfId="127" dataCellStyle="Moeda 2">
  <tableColumns count="16">
    <tableColumn id="1" xr3:uid="{00000000-0010-0000-1200-000001000000}" name="Nº" dataDxfId="126">
      <calculatedColumnFormula>TabelaSalarioBase[[#This Row],[Nº]]</calculatedColumnFormula>
    </tableColumn>
    <tableColumn id="16" xr3:uid="{00000000-0010-0000-1200-000010000000}" name="Descrição" dataDxfId="125"/>
    <tableColumn id="17" xr3:uid="{00000000-0010-0000-1200-000011000000}" name="Classificação" dataDxfId="124"/>
    <tableColumn id="3" xr3:uid="{00000000-0010-0000-1200-000003000000}" name="Janeiro" dataDxfId="123" dataCellStyle="Moeda 2"/>
    <tableColumn id="4" xr3:uid="{00000000-0010-0000-1200-000004000000}" name="Fevereiro" dataDxfId="122" dataCellStyle="Moeda 2"/>
    <tableColumn id="5" xr3:uid="{00000000-0010-0000-1200-000005000000}" name="Março" dataDxfId="121" dataCellStyle="Moeda 2"/>
    <tableColumn id="6" xr3:uid="{00000000-0010-0000-1200-000006000000}" name="Abril" dataDxfId="120" dataCellStyle="Moeda 2"/>
    <tableColumn id="7" xr3:uid="{00000000-0010-0000-1200-000007000000}" name="Maio" dataDxfId="119" dataCellStyle="Moeda 2"/>
    <tableColumn id="8" xr3:uid="{00000000-0010-0000-1200-000008000000}" name="Junho" dataDxfId="118" dataCellStyle="Moeda 2"/>
    <tableColumn id="9" xr3:uid="{00000000-0010-0000-1200-000009000000}" name="Julho" dataDxfId="117" dataCellStyle="Moeda 2"/>
    <tableColumn id="10" xr3:uid="{00000000-0010-0000-1200-00000A000000}" name="Agosto" dataDxfId="116" dataCellStyle="Moeda 2"/>
    <tableColumn id="11" xr3:uid="{00000000-0010-0000-1200-00000B000000}" name="Setembro" dataDxfId="115" dataCellStyle="Moeda 2"/>
    <tableColumn id="12" xr3:uid="{00000000-0010-0000-1200-00000C000000}" name="Outubro" dataDxfId="114" dataCellStyle="Moeda 2"/>
    <tableColumn id="13" xr3:uid="{00000000-0010-0000-1200-00000D000000}" name="Novembro" dataDxfId="113" dataCellStyle="Moeda 2"/>
    <tableColumn id="14" xr3:uid="{00000000-0010-0000-1200-00000E000000}" name="Dezembro" dataDxfId="112" dataCellStyle="Moeda 2"/>
    <tableColumn id="15" xr3:uid="{00000000-0010-0000-1200-00000F000000}" name="Total" dataDxfId="111" dataCellStyle="Moeda 2">
      <calculatedColumnFormula>SUM(D3:O3)</calculatedColumnFormula>
    </tableColumn>
  </tableColumns>
  <tableStyleInfo name="TableStyleMedium6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00000000-000C-0000-FFFF-FFFF13000000}" name="TabelaDiversos" displayName="TabelaDiversos" ref="A2:O12" totalsRowShown="0" headerRowDxfId="110" dataDxfId="109" tableBorderDxfId="108" dataCellStyle="Moeda 2">
  <tableColumns count="15">
    <tableColumn id="1" xr3:uid="{00000000-0010-0000-1300-000001000000}" name="Nº" dataDxfId="107">
      <calculatedColumnFormula>TabelaSalarioBase[[#This Row],[Nº]]</calculatedColumnFormula>
    </tableColumn>
    <tableColumn id="17" xr3:uid="{00000000-0010-0000-1300-000011000000}" name="Descrição" dataDxfId="106"/>
    <tableColumn id="3" xr3:uid="{00000000-0010-0000-1300-000003000000}" name="Janeiro" dataDxfId="105" dataCellStyle="Moeda 2"/>
    <tableColumn id="4" xr3:uid="{00000000-0010-0000-1300-000004000000}" name="Fevereiro" dataDxfId="104" dataCellStyle="Moeda 2"/>
    <tableColumn id="5" xr3:uid="{00000000-0010-0000-1300-000005000000}" name="Março" dataDxfId="103" dataCellStyle="Moeda 2"/>
    <tableColumn id="6" xr3:uid="{00000000-0010-0000-1300-000006000000}" name="Abril" dataDxfId="102" dataCellStyle="Moeda 2"/>
    <tableColumn id="7" xr3:uid="{00000000-0010-0000-1300-000007000000}" name="Maio" dataDxfId="101" dataCellStyle="Moeda 2"/>
    <tableColumn id="8" xr3:uid="{00000000-0010-0000-1300-000008000000}" name="Junho" dataDxfId="100" dataCellStyle="Moeda 2"/>
    <tableColumn id="9" xr3:uid="{00000000-0010-0000-1300-000009000000}" name="Julho" dataDxfId="99" dataCellStyle="Moeda 2"/>
    <tableColumn id="10" xr3:uid="{00000000-0010-0000-1300-00000A000000}" name="Agosto" dataDxfId="98" dataCellStyle="Moeda 2"/>
    <tableColumn id="11" xr3:uid="{00000000-0010-0000-1300-00000B000000}" name="Setembro" dataDxfId="97" dataCellStyle="Moeda 2"/>
    <tableColumn id="12" xr3:uid="{00000000-0010-0000-1300-00000C000000}" name="Outubro" dataDxfId="96" dataCellStyle="Moeda 2"/>
    <tableColumn id="13" xr3:uid="{00000000-0010-0000-1300-00000D000000}" name="Novembro" dataDxfId="95" dataCellStyle="Moeda 2"/>
    <tableColumn id="14" xr3:uid="{00000000-0010-0000-1300-00000E000000}" name="Dezembro" dataDxfId="94" dataCellStyle="Moeda 2"/>
    <tableColumn id="15" xr3:uid="{00000000-0010-0000-1300-00000F000000}" name="Total" dataDxfId="93" dataCellStyle="Moeda 2">
      <calculatedColumnFormula>SUM(C3:N3)</calculatedColumnFormula>
    </tableColumn>
  </tableColumns>
  <tableStyleInfo name="TableStyleMedium6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00000000-000C-0000-FFFF-FFFF14000000}" name="TabelaPermanentes" displayName="TabelaPermanentes" ref="A2:P12" totalsRowShown="0" headerRowDxfId="92" dataDxfId="91" tableBorderDxfId="90" dataCellStyle="Moeda 2">
  <tableColumns count="16">
    <tableColumn id="1" xr3:uid="{00000000-0010-0000-1400-000001000000}" name="Nº" dataDxfId="89">
      <calculatedColumnFormula>TabelaSalarioBase[[#This Row],[Nº]]</calculatedColumnFormula>
    </tableColumn>
    <tableColumn id="16" xr3:uid="{00000000-0010-0000-1400-000010000000}" name="Descrição" dataDxfId="88"/>
    <tableColumn id="17" xr3:uid="{00000000-0010-0000-1400-000011000000}" name="Classificação" dataDxfId="87"/>
    <tableColumn id="3" xr3:uid="{00000000-0010-0000-1400-000003000000}" name="Janeiro" dataDxfId="86" dataCellStyle="Moeda 2"/>
    <tableColumn id="4" xr3:uid="{00000000-0010-0000-1400-000004000000}" name="Fevereiro" dataDxfId="85" dataCellStyle="Moeda 2"/>
    <tableColumn id="5" xr3:uid="{00000000-0010-0000-1400-000005000000}" name="Março" dataDxfId="84" dataCellStyle="Moeda 2"/>
    <tableColumn id="6" xr3:uid="{00000000-0010-0000-1400-000006000000}" name="Abril" dataDxfId="83" dataCellStyle="Moeda 2"/>
    <tableColumn id="7" xr3:uid="{00000000-0010-0000-1400-000007000000}" name="Maio" dataDxfId="82" dataCellStyle="Moeda 2"/>
    <tableColumn id="8" xr3:uid="{00000000-0010-0000-1400-000008000000}" name="Junho" dataDxfId="81" dataCellStyle="Moeda 2"/>
    <tableColumn id="9" xr3:uid="{00000000-0010-0000-1400-000009000000}" name="Julho" dataDxfId="80" dataCellStyle="Moeda 2"/>
    <tableColumn id="10" xr3:uid="{00000000-0010-0000-1400-00000A000000}" name="Agosto" dataDxfId="79" dataCellStyle="Moeda 2"/>
    <tableColumn id="11" xr3:uid="{00000000-0010-0000-1400-00000B000000}" name="Setembro" dataDxfId="78" dataCellStyle="Moeda 2"/>
    <tableColumn id="12" xr3:uid="{00000000-0010-0000-1400-00000C000000}" name="Outubro" dataDxfId="77" dataCellStyle="Moeda 2"/>
    <tableColumn id="13" xr3:uid="{00000000-0010-0000-1400-00000D000000}" name="Novembro" dataDxfId="76" dataCellStyle="Moeda 2"/>
    <tableColumn id="14" xr3:uid="{00000000-0010-0000-1400-00000E000000}" name="Dezembro" dataDxfId="75" dataCellStyle="Moeda 2"/>
    <tableColumn id="15" xr3:uid="{00000000-0010-0000-1400-00000F000000}" name="Total" dataDxfId="74" dataCellStyle="Moeda 2">
      <calculatedColumnFormula>SUM(D3:O3)</calculatedColumnFormula>
    </tableColumn>
  </tableColumns>
  <tableStyleInfo name="TableStyleMedium6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00000000-000C-0000-FFFF-FFFF15000000}" name="TabelaServicosMedicos" displayName="TabelaServicosMedicos" ref="A2:P12" totalsRowShown="0" headerRowDxfId="73" dataDxfId="72" tableBorderDxfId="71" dataCellStyle="Moeda 2">
  <tableColumns count="16">
    <tableColumn id="1" xr3:uid="{00000000-0010-0000-1500-000001000000}" name="Nº" dataDxfId="70">
      <calculatedColumnFormula>TabelaSalarioBase[[#This Row],[Nº]]</calculatedColumnFormula>
    </tableColumn>
    <tableColumn id="16" xr3:uid="{00000000-0010-0000-1500-000010000000}" name="Descrição" dataDxfId="69"/>
    <tableColumn id="17" xr3:uid="{00000000-0010-0000-1500-000011000000}" name="Classificação" dataDxfId="68"/>
    <tableColumn id="3" xr3:uid="{00000000-0010-0000-1500-000003000000}" name="Janeiro" dataDxfId="67" dataCellStyle="Moeda 2"/>
    <tableColumn id="4" xr3:uid="{00000000-0010-0000-1500-000004000000}" name="Fevereiro" dataDxfId="66" dataCellStyle="Moeda 2"/>
    <tableColumn id="5" xr3:uid="{00000000-0010-0000-1500-000005000000}" name="Março" dataDxfId="65" dataCellStyle="Moeda 2"/>
    <tableColumn id="6" xr3:uid="{00000000-0010-0000-1500-000006000000}" name="Abril" dataDxfId="64" dataCellStyle="Moeda 2"/>
    <tableColumn id="7" xr3:uid="{00000000-0010-0000-1500-000007000000}" name="Maio" dataDxfId="63" dataCellStyle="Moeda 2"/>
    <tableColumn id="8" xr3:uid="{00000000-0010-0000-1500-000008000000}" name="Junho" dataDxfId="62" dataCellStyle="Moeda 2"/>
    <tableColumn id="9" xr3:uid="{00000000-0010-0000-1500-000009000000}" name="Julho" dataDxfId="61" dataCellStyle="Moeda 2"/>
    <tableColumn id="10" xr3:uid="{00000000-0010-0000-1500-00000A000000}" name="Agosto" dataDxfId="60" dataCellStyle="Moeda 2"/>
    <tableColumn id="11" xr3:uid="{00000000-0010-0000-1500-00000B000000}" name="Setembro" dataDxfId="59" dataCellStyle="Moeda 2"/>
    <tableColumn id="12" xr3:uid="{00000000-0010-0000-1500-00000C000000}" name="Outubro" dataDxfId="58" dataCellStyle="Moeda 2"/>
    <tableColumn id="13" xr3:uid="{00000000-0010-0000-1500-00000D000000}" name="Novembro" dataDxfId="57" dataCellStyle="Moeda 2"/>
    <tableColumn id="14" xr3:uid="{00000000-0010-0000-1500-00000E000000}" name="Dezembro" dataDxfId="56" dataCellStyle="Moeda 2"/>
    <tableColumn id="15" xr3:uid="{00000000-0010-0000-1500-00000F000000}" name="Total" dataDxfId="55" dataCellStyle="Moeda 2">
      <calculatedColumnFormula>SUM(D3:O3)</calculatedColumnFormula>
    </tableColumn>
  </tableColumns>
  <tableStyleInfo name="TableStyleMedium6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00000000-000C-0000-FFFF-FFFF16000000}" name="TabelaMaterialMedicoHospitalar" displayName="TabelaMaterialMedicoHospitalar" ref="A2:P12" totalsRowShown="0" headerRowDxfId="54" dataDxfId="53" tableBorderDxfId="52" dataCellStyle="Moeda 2">
  <tableColumns count="16">
    <tableColumn id="1" xr3:uid="{00000000-0010-0000-1600-000001000000}" name="Nº" dataDxfId="51">
      <calculatedColumnFormula>TabelaSalarioBase[[#This Row],[Nº]]</calculatedColumnFormula>
    </tableColumn>
    <tableColumn id="16" xr3:uid="{00000000-0010-0000-1600-000010000000}" name="Descrição" dataDxfId="50"/>
    <tableColumn id="17" xr3:uid="{00000000-0010-0000-1600-000011000000}" name="Classificação" dataDxfId="49"/>
    <tableColumn id="3" xr3:uid="{00000000-0010-0000-1600-000003000000}" name="Janeiro" dataDxfId="48" dataCellStyle="Moeda 2"/>
    <tableColumn id="4" xr3:uid="{00000000-0010-0000-1600-000004000000}" name="Fevereiro" dataDxfId="47" dataCellStyle="Moeda 2"/>
    <tableColumn id="5" xr3:uid="{00000000-0010-0000-1600-000005000000}" name="Março" dataDxfId="46" dataCellStyle="Moeda 2"/>
    <tableColumn id="6" xr3:uid="{00000000-0010-0000-1600-000006000000}" name="Abril" dataDxfId="45" dataCellStyle="Moeda 2"/>
    <tableColumn id="7" xr3:uid="{00000000-0010-0000-1600-000007000000}" name="Maio" dataDxfId="44" dataCellStyle="Moeda 2"/>
    <tableColumn id="8" xr3:uid="{00000000-0010-0000-1600-000008000000}" name="Junho" dataDxfId="43" dataCellStyle="Moeda 2"/>
    <tableColumn id="9" xr3:uid="{00000000-0010-0000-1600-000009000000}" name="Julho" dataDxfId="42" dataCellStyle="Moeda 2"/>
    <tableColumn id="10" xr3:uid="{00000000-0010-0000-1600-00000A000000}" name="Agosto" dataDxfId="41" dataCellStyle="Moeda 2"/>
    <tableColumn id="11" xr3:uid="{00000000-0010-0000-1600-00000B000000}" name="Setembro" dataDxfId="40" dataCellStyle="Moeda 2"/>
    <tableColumn id="12" xr3:uid="{00000000-0010-0000-1600-00000C000000}" name="Outubro" dataDxfId="39" dataCellStyle="Moeda 2"/>
    <tableColumn id="13" xr3:uid="{00000000-0010-0000-1600-00000D000000}" name="Novembro" dataDxfId="38" dataCellStyle="Moeda 2"/>
    <tableColumn id="14" xr3:uid="{00000000-0010-0000-1600-00000E000000}" name="Dezembro" dataDxfId="37" dataCellStyle="Moeda 2"/>
    <tableColumn id="15" xr3:uid="{00000000-0010-0000-1600-00000F000000}" name="Total" dataDxfId="36" dataCellStyle="Moeda 2">
      <calculatedColumnFormula>SUM(D3:O3)</calculatedColumnFormula>
    </tableColumn>
  </tableColumns>
  <tableStyleInfo name="TableStyleMedium6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00000000-000C-0000-FFFF-FFFF17000000}" name="TabelaMedicamentos" displayName="TabelaMedicamentos" ref="A2:P12" totalsRowShown="0" headerRowDxfId="35" dataDxfId="34" tableBorderDxfId="33" dataCellStyle="Moeda 2">
  <tableColumns count="16">
    <tableColumn id="1" xr3:uid="{00000000-0010-0000-1700-000001000000}" name="Nº" dataDxfId="32">
      <calculatedColumnFormula>TabelaSalarioBase[[#This Row],[Nº]]</calculatedColumnFormula>
    </tableColumn>
    <tableColumn id="16" xr3:uid="{00000000-0010-0000-1700-000010000000}" name="Descrição" dataDxfId="31"/>
    <tableColumn id="17" xr3:uid="{00000000-0010-0000-1700-000011000000}" name="Classificação" dataDxfId="30"/>
    <tableColumn id="3" xr3:uid="{00000000-0010-0000-1700-000003000000}" name="Janeiro" dataDxfId="29" dataCellStyle="Moeda 2"/>
    <tableColumn id="4" xr3:uid="{00000000-0010-0000-1700-000004000000}" name="Fevereiro" dataDxfId="28" dataCellStyle="Moeda 2"/>
    <tableColumn id="5" xr3:uid="{00000000-0010-0000-1700-000005000000}" name="Março" dataDxfId="27" dataCellStyle="Moeda 2"/>
    <tableColumn id="6" xr3:uid="{00000000-0010-0000-1700-000006000000}" name="Abril" dataDxfId="26" dataCellStyle="Moeda 2"/>
    <tableColumn id="7" xr3:uid="{00000000-0010-0000-1700-000007000000}" name="Maio" dataDxfId="25" dataCellStyle="Moeda 2"/>
    <tableColumn id="8" xr3:uid="{00000000-0010-0000-1700-000008000000}" name="Junho" dataDxfId="24" dataCellStyle="Moeda 2"/>
    <tableColumn id="9" xr3:uid="{00000000-0010-0000-1700-000009000000}" name="Julho" dataDxfId="23" dataCellStyle="Moeda 2"/>
    <tableColumn id="10" xr3:uid="{00000000-0010-0000-1700-00000A000000}" name="Agosto" dataDxfId="22" dataCellStyle="Moeda 2"/>
    <tableColumn id="11" xr3:uid="{00000000-0010-0000-1700-00000B000000}" name="Setembro" dataDxfId="21" dataCellStyle="Moeda 2"/>
    <tableColumn id="12" xr3:uid="{00000000-0010-0000-1700-00000C000000}" name="Outubro" dataDxfId="20" dataCellStyle="Moeda 2"/>
    <tableColumn id="13" xr3:uid="{00000000-0010-0000-1700-00000D000000}" name="Novembro" dataDxfId="19" dataCellStyle="Moeda 2"/>
    <tableColumn id="14" xr3:uid="{00000000-0010-0000-1700-00000E000000}" name="Dezembro" dataDxfId="18" dataCellStyle="Moeda 2"/>
    <tableColumn id="15" xr3:uid="{00000000-0010-0000-1700-00000F000000}" name="Total" dataDxfId="17" dataCellStyle="Moeda 2">
      <calculatedColumnFormula>SUM(D3:O3)</calculatedColumnFormula>
    </tableColumn>
  </tableColumns>
  <tableStyleInfo name="TableStyleMedium6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00000000-000C-0000-FFFF-FFFF18000000}" name="TabelaTotal" displayName="TabelaTotal" ref="B2:O48" totalsRowShown="0" headerRowDxfId="16" dataDxfId="15" tableBorderDxfId="14" dataCellStyle="Moeda 2">
  <tableColumns count="14">
    <tableColumn id="16" xr3:uid="{00000000-0010-0000-1800-000010000000}" name="Classificação" dataDxfId="13"/>
    <tableColumn id="3" xr3:uid="{00000000-0010-0000-1800-000003000000}" name="Janeiro" dataDxfId="12" dataCellStyle="Moeda 2">
      <calculatedColumnFormula>SUM(TabelaSalarioBase[Janeiro])</calculatedColumnFormula>
    </tableColumn>
    <tableColumn id="4" xr3:uid="{00000000-0010-0000-1800-000004000000}" name="Fevereiro" dataDxfId="11" dataCellStyle="Moeda 2"/>
    <tableColumn id="5" xr3:uid="{00000000-0010-0000-1800-000005000000}" name="Março" dataDxfId="10" dataCellStyle="Moeda 2"/>
    <tableColumn id="6" xr3:uid="{00000000-0010-0000-1800-000006000000}" name="Abril" dataDxfId="9" dataCellStyle="Moeda 2"/>
    <tableColumn id="7" xr3:uid="{00000000-0010-0000-1800-000007000000}" name="Maio" dataDxfId="8" dataCellStyle="Moeda 2"/>
    <tableColumn id="8" xr3:uid="{00000000-0010-0000-1800-000008000000}" name="Junho" dataDxfId="7" dataCellStyle="Moeda 2"/>
    <tableColumn id="9" xr3:uid="{00000000-0010-0000-1800-000009000000}" name="Julho" dataDxfId="6" dataCellStyle="Moeda 2"/>
    <tableColumn id="10" xr3:uid="{00000000-0010-0000-1800-00000A000000}" name="Agosto" dataDxfId="5" dataCellStyle="Moeda 2"/>
    <tableColumn id="11" xr3:uid="{00000000-0010-0000-1800-00000B000000}" name="Setembro" dataDxfId="4" dataCellStyle="Moeda 2"/>
    <tableColumn id="12" xr3:uid="{00000000-0010-0000-1800-00000C000000}" name="Outubro" dataDxfId="3" dataCellStyle="Moeda 2"/>
    <tableColumn id="13" xr3:uid="{00000000-0010-0000-1800-00000D000000}" name="Novembro" dataDxfId="2" dataCellStyle="Moeda 2"/>
    <tableColumn id="14" xr3:uid="{00000000-0010-0000-1800-00000E000000}" name="Dezembro" dataDxfId="1" dataCellStyle="Moeda 2"/>
    <tableColumn id="15" xr3:uid="{00000000-0010-0000-1800-00000F000000}" name="Total" dataDxfId="0" dataCellStyle="Moeda 2">
      <calculatedColumnFormula>SUM(C3:N3)</calculatedColumnFormula>
    </tableColumn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3.xml"/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ilha2">
    <pageSetUpPr fitToPage="1"/>
  </sheetPr>
  <dimension ref="A1:P33"/>
  <sheetViews>
    <sheetView zoomScale="80" zoomScaleNormal="80" workbookViewId="0">
      <selection activeCell="A2" sqref="A2"/>
    </sheetView>
  </sheetViews>
  <sheetFormatPr defaultRowHeight="12.75" x14ac:dyDescent="0.2"/>
  <cols>
    <col min="1" max="1" width="3.42578125" style="7" bestFit="1" customWidth="1"/>
    <col min="2" max="2" width="35.7109375" style="7" customWidth="1"/>
    <col min="3" max="3" width="30.7109375" style="7" customWidth="1"/>
    <col min="4" max="15" width="14.28515625" style="2" bestFit="1" customWidth="1"/>
    <col min="16" max="16" width="21.42578125" style="2" bestFit="1" customWidth="1"/>
    <col min="17" max="16384" width="9.140625" style="2"/>
  </cols>
  <sheetData>
    <row r="1" spans="1:16" s="1" customFormat="1" ht="50.1" customHeight="1" thickBot="1" x14ac:dyDescent="0.3">
      <c r="A1" s="47" t="s">
        <v>102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9"/>
    </row>
    <row r="2" spans="1:16" s="1" customFormat="1" x14ac:dyDescent="0.25">
      <c r="A2" s="15" t="s">
        <v>25</v>
      </c>
      <c r="B2" s="15" t="s">
        <v>0</v>
      </c>
      <c r="C2" s="16" t="s">
        <v>1</v>
      </c>
      <c r="D2" s="17" t="s">
        <v>16</v>
      </c>
      <c r="E2" s="17" t="s">
        <v>17</v>
      </c>
      <c r="F2" s="17" t="s">
        <v>18</v>
      </c>
      <c r="G2" s="17" t="s">
        <v>19</v>
      </c>
      <c r="H2" s="17" t="s">
        <v>24</v>
      </c>
      <c r="I2" s="17" t="s">
        <v>20</v>
      </c>
      <c r="J2" s="17" t="s">
        <v>21</v>
      </c>
      <c r="K2" s="17" t="s">
        <v>22</v>
      </c>
      <c r="L2" s="17" t="s">
        <v>29</v>
      </c>
      <c r="M2" s="17" t="s">
        <v>23</v>
      </c>
      <c r="N2" s="17" t="s">
        <v>27</v>
      </c>
      <c r="O2" s="17" t="s">
        <v>28</v>
      </c>
      <c r="P2" s="39" t="s">
        <v>2</v>
      </c>
    </row>
    <row r="3" spans="1:16" s="1" customFormat="1" x14ac:dyDescent="0.25">
      <c r="A3" s="30">
        <v>1</v>
      </c>
      <c r="B3" s="30"/>
      <c r="C3" s="31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40">
        <f>SUM(D3:O3)</f>
        <v>0</v>
      </c>
    </row>
    <row r="4" spans="1:16" s="1" customFormat="1" x14ac:dyDescent="0.25">
      <c r="A4" s="33">
        <v>2</v>
      </c>
      <c r="B4" s="33"/>
      <c r="C4" s="34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40">
        <f t="shared" ref="P4:P32" si="0">SUM(D4:O4)</f>
        <v>0</v>
      </c>
    </row>
    <row r="5" spans="1:16" s="1" customFormat="1" x14ac:dyDescent="0.25">
      <c r="A5" s="33">
        <v>3</v>
      </c>
      <c r="B5" s="33"/>
      <c r="C5" s="34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40">
        <f t="shared" si="0"/>
        <v>0</v>
      </c>
    </row>
    <row r="6" spans="1:16" s="1" customFormat="1" x14ac:dyDescent="0.25">
      <c r="A6" s="33">
        <v>4</v>
      </c>
      <c r="B6" s="33"/>
      <c r="C6" s="34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40">
        <f t="shared" si="0"/>
        <v>0</v>
      </c>
    </row>
    <row r="7" spans="1:16" s="1" customFormat="1" x14ac:dyDescent="0.25">
      <c r="A7" s="33">
        <v>5</v>
      </c>
      <c r="B7" s="33"/>
      <c r="C7" s="34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40">
        <f t="shared" ref="P7:P16" si="1">SUM(D7:O7)</f>
        <v>0</v>
      </c>
    </row>
    <row r="8" spans="1:16" s="1" customFormat="1" x14ac:dyDescent="0.25">
      <c r="A8" s="33">
        <v>6</v>
      </c>
      <c r="B8" s="33"/>
      <c r="C8" s="34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40">
        <f t="shared" si="1"/>
        <v>0</v>
      </c>
    </row>
    <row r="9" spans="1:16" s="1" customFormat="1" x14ac:dyDescent="0.25">
      <c r="A9" s="33">
        <v>7</v>
      </c>
      <c r="B9" s="33"/>
      <c r="C9" s="34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40">
        <f t="shared" si="1"/>
        <v>0</v>
      </c>
    </row>
    <row r="10" spans="1:16" s="1" customFormat="1" x14ac:dyDescent="0.25">
      <c r="A10" s="33">
        <v>8</v>
      </c>
      <c r="B10" s="33"/>
      <c r="C10" s="34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40">
        <f t="shared" si="1"/>
        <v>0</v>
      </c>
    </row>
    <row r="11" spans="1:16" s="1" customFormat="1" x14ac:dyDescent="0.25">
      <c r="A11" s="33">
        <v>9</v>
      </c>
      <c r="B11" s="33"/>
      <c r="C11" s="34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40">
        <f t="shared" si="1"/>
        <v>0</v>
      </c>
    </row>
    <row r="12" spans="1:16" s="1" customFormat="1" x14ac:dyDescent="0.25">
      <c r="A12" s="33">
        <v>10</v>
      </c>
      <c r="B12" s="33"/>
      <c r="C12" s="34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40">
        <f t="shared" si="1"/>
        <v>0</v>
      </c>
    </row>
    <row r="13" spans="1:16" s="1" customFormat="1" x14ac:dyDescent="0.25">
      <c r="A13" s="33">
        <v>11</v>
      </c>
      <c r="B13" s="33"/>
      <c r="C13" s="34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40">
        <f t="shared" si="1"/>
        <v>0</v>
      </c>
    </row>
    <row r="14" spans="1:16" s="1" customFormat="1" x14ac:dyDescent="0.25">
      <c r="A14" s="33">
        <v>12</v>
      </c>
      <c r="B14" s="33"/>
      <c r="C14" s="34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40">
        <f t="shared" si="1"/>
        <v>0</v>
      </c>
    </row>
    <row r="15" spans="1:16" s="1" customFormat="1" x14ac:dyDescent="0.25">
      <c r="A15" s="33">
        <v>13</v>
      </c>
      <c r="B15" s="33"/>
      <c r="C15" s="34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40">
        <f t="shared" si="1"/>
        <v>0</v>
      </c>
    </row>
    <row r="16" spans="1:16" s="1" customFormat="1" x14ac:dyDescent="0.25">
      <c r="A16" s="33">
        <v>14</v>
      </c>
      <c r="B16" s="33"/>
      <c r="C16" s="34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40">
        <f t="shared" si="1"/>
        <v>0</v>
      </c>
    </row>
    <row r="17" spans="1:16" s="1" customFormat="1" x14ac:dyDescent="0.25">
      <c r="A17" s="33">
        <v>15</v>
      </c>
      <c r="B17" s="33"/>
      <c r="C17" s="34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40">
        <f>SUM(D17:O17)</f>
        <v>0</v>
      </c>
    </row>
    <row r="18" spans="1:16" s="1" customFormat="1" x14ac:dyDescent="0.25">
      <c r="A18" s="33">
        <v>16</v>
      </c>
      <c r="B18" s="33"/>
      <c r="C18" s="34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40">
        <f t="shared" si="0"/>
        <v>0</v>
      </c>
    </row>
    <row r="19" spans="1:16" s="1" customFormat="1" x14ac:dyDescent="0.25">
      <c r="A19" s="33">
        <v>17</v>
      </c>
      <c r="B19" s="33"/>
      <c r="C19" s="34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40">
        <f t="shared" si="0"/>
        <v>0</v>
      </c>
    </row>
    <row r="20" spans="1:16" s="1" customFormat="1" x14ac:dyDescent="0.25">
      <c r="A20" s="33">
        <v>18</v>
      </c>
      <c r="B20" s="33"/>
      <c r="C20" s="34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40">
        <f t="shared" si="0"/>
        <v>0</v>
      </c>
    </row>
    <row r="21" spans="1:16" s="1" customFormat="1" x14ac:dyDescent="0.25">
      <c r="A21" s="33">
        <v>19</v>
      </c>
      <c r="B21" s="33"/>
      <c r="C21" s="34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40">
        <f>SUM(D21:O21)</f>
        <v>0</v>
      </c>
    </row>
    <row r="22" spans="1:16" s="1" customFormat="1" x14ac:dyDescent="0.25">
      <c r="A22" s="33">
        <v>20</v>
      </c>
      <c r="B22" s="33"/>
      <c r="C22" s="34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40">
        <f t="shared" si="0"/>
        <v>0</v>
      </c>
    </row>
    <row r="23" spans="1:16" s="1" customFormat="1" x14ac:dyDescent="0.25">
      <c r="A23" s="33">
        <v>21</v>
      </c>
      <c r="B23" s="33"/>
      <c r="C23" s="34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40">
        <f t="shared" si="0"/>
        <v>0</v>
      </c>
    </row>
    <row r="24" spans="1:16" s="1" customFormat="1" x14ac:dyDescent="0.25">
      <c r="A24" s="33">
        <v>22</v>
      </c>
      <c r="B24" s="33"/>
      <c r="C24" s="34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40">
        <f t="shared" si="0"/>
        <v>0</v>
      </c>
    </row>
    <row r="25" spans="1:16" s="1" customFormat="1" x14ac:dyDescent="0.25">
      <c r="A25" s="33">
        <v>23</v>
      </c>
      <c r="B25" s="33"/>
      <c r="C25" s="34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40">
        <f t="shared" si="0"/>
        <v>0</v>
      </c>
    </row>
    <row r="26" spans="1:16" s="1" customFormat="1" x14ac:dyDescent="0.25">
      <c r="A26" s="33">
        <v>24</v>
      </c>
      <c r="B26" s="33"/>
      <c r="C26" s="34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40">
        <f t="shared" si="0"/>
        <v>0</v>
      </c>
    </row>
    <row r="27" spans="1:16" s="1" customFormat="1" x14ac:dyDescent="0.25">
      <c r="A27" s="33">
        <v>25</v>
      </c>
      <c r="B27" s="33"/>
      <c r="C27" s="34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40">
        <f t="shared" si="0"/>
        <v>0</v>
      </c>
    </row>
    <row r="28" spans="1:16" s="1" customFormat="1" x14ac:dyDescent="0.25">
      <c r="A28" s="33">
        <v>26</v>
      </c>
      <c r="B28" s="33"/>
      <c r="C28" s="34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40">
        <f t="shared" si="0"/>
        <v>0</v>
      </c>
    </row>
    <row r="29" spans="1:16" s="1" customFormat="1" x14ac:dyDescent="0.25">
      <c r="A29" s="33">
        <v>27</v>
      </c>
      <c r="B29" s="33"/>
      <c r="C29" s="34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40">
        <f t="shared" si="0"/>
        <v>0</v>
      </c>
    </row>
    <row r="30" spans="1:16" s="1" customFormat="1" x14ac:dyDescent="0.25">
      <c r="A30" s="33">
        <v>28</v>
      </c>
      <c r="B30" s="33"/>
      <c r="C30" s="34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40">
        <f>SUM(D30:O30)</f>
        <v>0</v>
      </c>
    </row>
    <row r="31" spans="1:16" s="1" customFormat="1" x14ac:dyDescent="0.25">
      <c r="A31" s="33">
        <v>29</v>
      </c>
      <c r="B31" s="33"/>
      <c r="C31" s="34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40">
        <f>SUM(D31:O31)</f>
        <v>0</v>
      </c>
    </row>
    <row r="32" spans="1:16" s="1" customFormat="1" x14ac:dyDescent="0.25">
      <c r="A32" s="36">
        <v>30</v>
      </c>
      <c r="B32" s="36"/>
      <c r="C32" s="37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41">
        <f t="shared" si="0"/>
        <v>0</v>
      </c>
    </row>
    <row r="33" spans="1:16" ht="18" x14ac:dyDescent="0.25">
      <c r="A33" s="50" t="s">
        <v>12</v>
      </c>
      <c r="B33" s="51"/>
      <c r="C33" s="51"/>
      <c r="D33" s="44">
        <f>SUM(TabelaSalarioBase[Janeiro])</f>
        <v>0</v>
      </c>
      <c r="E33" s="44">
        <f>SUM(TabelaSalarioBase[Fevereiro])</f>
        <v>0</v>
      </c>
      <c r="F33" s="44">
        <f>SUM(TabelaSalarioBase[Março])</f>
        <v>0</v>
      </c>
      <c r="G33" s="44">
        <f>SUM(TabelaSalarioBase[Abril])</f>
        <v>0</v>
      </c>
      <c r="H33" s="44">
        <f>SUM(TabelaSalarioBase[Maio])</f>
        <v>0</v>
      </c>
      <c r="I33" s="44">
        <f>SUM(TabelaSalarioBase[Junho])</f>
        <v>0</v>
      </c>
      <c r="J33" s="44">
        <f>SUM(TabelaSalarioBase[Julho])</f>
        <v>0</v>
      </c>
      <c r="K33" s="44">
        <f>SUM(TabelaSalarioBase[Agosto])</f>
        <v>0</v>
      </c>
      <c r="L33" s="44">
        <f>SUM(TabelaSalarioBase[Setembro])</f>
        <v>0</v>
      </c>
      <c r="M33" s="44">
        <f>SUM(TabelaSalarioBase[Outubro])</f>
        <v>0</v>
      </c>
      <c r="N33" s="44">
        <f>SUM(TabelaSalarioBase[Novembro])</f>
        <v>0</v>
      </c>
      <c r="O33" s="44">
        <f>SUM(TabelaSalarioBase[Dezembro])</f>
        <v>0</v>
      </c>
      <c r="P33" s="22">
        <f>SUM(P3:P32)</f>
        <v>0</v>
      </c>
    </row>
  </sheetData>
  <sheetProtection insertRows="0" deleteRows="0"/>
  <mergeCells count="2">
    <mergeCell ref="A1:P1"/>
    <mergeCell ref="A33:C33"/>
  </mergeCells>
  <pageMargins left="0.25" right="0.25" top="0.75" bottom="0.75" header="0.3" footer="0.3"/>
  <pageSetup paperSize="9" scale="54" fitToHeight="0" orientation="landscape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913E9-0C7C-4487-AD95-823AFF0A6F60}">
  <sheetPr>
    <pageSetUpPr fitToPage="1"/>
  </sheetPr>
  <dimension ref="A1:P33"/>
  <sheetViews>
    <sheetView zoomScale="80" zoomScaleNormal="80" workbookViewId="0">
      <selection activeCell="B19" sqref="B19"/>
    </sheetView>
  </sheetViews>
  <sheetFormatPr defaultRowHeight="12.75" x14ac:dyDescent="0.2"/>
  <cols>
    <col min="1" max="1" width="3.42578125" style="7" bestFit="1" customWidth="1"/>
    <col min="2" max="2" width="35.7109375" style="7" customWidth="1"/>
    <col min="3" max="3" width="30.7109375" style="7" customWidth="1"/>
    <col min="4" max="7" width="14.28515625" style="2" bestFit="1" customWidth="1"/>
    <col min="8" max="15" width="13" style="2" bestFit="1" customWidth="1"/>
    <col min="16" max="16" width="21.42578125" style="2" bestFit="1" customWidth="1"/>
    <col min="17" max="16384" width="9.140625" style="2"/>
  </cols>
  <sheetData>
    <row r="1" spans="1:16" s="1" customFormat="1" ht="50.1" customHeight="1" thickBot="1" x14ac:dyDescent="0.3">
      <c r="A1" s="47" t="s">
        <v>75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9"/>
    </row>
    <row r="2" spans="1:16" s="1" customFormat="1" x14ac:dyDescent="0.25">
      <c r="A2" s="5" t="s">
        <v>25</v>
      </c>
      <c r="B2" s="5" t="s">
        <v>0</v>
      </c>
      <c r="C2" s="6" t="s">
        <v>1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24</v>
      </c>
      <c r="I2" s="3" t="s">
        <v>20</v>
      </c>
      <c r="J2" s="3" t="s">
        <v>21</v>
      </c>
      <c r="K2" s="3" t="s">
        <v>22</v>
      </c>
      <c r="L2" s="3" t="s">
        <v>29</v>
      </c>
      <c r="M2" s="3" t="s">
        <v>23</v>
      </c>
      <c r="N2" s="3" t="s">
        <v>27</v>
      </c>
      <c r="O2" s="3" t="s">
        <v>28</v>
      </c>
      <c r="P2" s="4" t="s">
        <v>2</v>
      </c>
    </row>
    <row r="3" spans="1:16" s="1" customFormat="1" x14ac:dyDescent="0.25">
      <c r="A3" s="8">
        <f>TabelaSalarioBase[[#This Row],[Nº]]</f>
        <v>1</v>
      </c>
      <c r="B3" s="8">
        <f>TabelaSalarioBase[[#This Row],[Nome]]</f>
        <v>0</v>
      </c>
      <c r="C3" s="9">
        <f>TabelaSalarioBase[[#This Row],[Cargo]]</f>
        <v>0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>
        <f>SUM(D3:O3)</f>
        <v>0</v>
      </c>
    </row>
    <row r="4" spans="1:16" s="1" customFormat="1" x14ac:dyDescent="0.25">
      <c r="A4" s="8">
        <f>TabelaSalarioBase[[#This Row],[Nº]]</f>
        <v>2</v>
      </c>
      <c r="B4" s="8">
        <f>TabelaSalarioBase[[#This Row],[Nome]]</f>
        <v>0</v>
      </c>
      <c r="C4" s="9">
        <f>TabelaSalarioBase[[#This Row],[Cargo]]</f>
        <v>0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1">
        <f t="shared" ref="P4:P29" si="0">SUM(D4:O4)</f>
        <v>0</v>
      </c>
    </row>
    <row r="5" spans="1:16" s="1" customFormat="1" x14ac:dyDescent="0.25">
      <c r="A5" s="8">
        <f>TabelaSalarioBase[[#This Row],[Nº]]</f>
        <v>3</v>
      </c>
      <c r="B5" s="8">
        <f>TabelaSalarioBase[[#This Row],[Nome]]</f>
        <v>0</v>
      </c>
      <c r="C5" s="9">
        <f>TabelaSalarioBase[[#This Row],[Cargo]]</f>
        <v>0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1">
        <f t="shared" si="0"/>
        <v>0</v>
      </c>
    </row>
    <row r="6" spans="1:16" s="1" customFormat="1" x14ac:dyDescent="0.25">
      <c r="A6" s="8">
        <f>TabelaSalarioBase[[#This Row],[Nº]]</f>
        <v>4</v>
      </c>
      <c r="B6" s="8">
        <f>TabelaSalarioBase[[#This Row],[Nome]]</f>
        <v>0</v>
      </c>
      <c r="C6" s="9">
        <f>TabelaSalarioBase[[#This Row],[Cargo]]</f>
        <v>0</v>
      </c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1">
        <f t="shared" si="0"/>
        <v>0</v>
      </c>
    </row>
    <row r="7" spans="1:16" s="1" customFormat="1" x14ac:dyDescent="0.25">
      <c r="A7" s="8">
        <f>TabelaSalarioBase[[#This Row],[Nº]]</f>
        <v>5</v>
      </c>
      <c r="B7" s="8">
        <f>TabelaSalarioBase[[#This Row],[Nome]]</f>
        <v>0</v>
      </c>
      <c r="C7" s="9">
        <f>TabelaSalarioBase[[#This Row],[Cargo]]</f>
        <v>0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1">
        <f t="shared" si="0"/>
        <v>0</v>
      </c>
    </row>
    <row r="8" spans="1:16" s="1" customFormat="1" x14ac:dyDescent="0.25">
      <c r="A8" s="8">
        <f>TabelaSalarioBase[[#This Row],[Nº]]</f>
        <v>6</v>
      </c>
      <c r="B8" s="8">
        <f>TabelaSalarioBase[[#This Row],[Nome]]</f>
        <v>0</v>
      </c>
      <c r="C8" s="9">
        <f>TabelaSalarioBase[[#This Row],[Cargo]]</f>
        <v>0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1">
        <f t="shared" si="0"/>
        <v>0</v>
      </c>
    </row>
    <row r="9" spans="1:16" s="1" customFormat="1" x14ac:dyDescent="0.25">
      <c r="A9" s="8">
        <f>TabelaSalarioBase[[#This Row],[Nº]]</f>
        <v>7</v>
      </c>
      <c r="B9" s="8">
        <f>TabelaSalarioBase[[#This Row],[Nome]]</f>
        <v>0</v>
      </c>
      <c r="C9" s="9">
        <f>TabelaSalarioBase[[#This Row],[Cargo]]</f>
        <v>0</v>
      </c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1">
        <f t="shared" si="0"/>
        <v>0</v>
      </c>
    </row>
    <row r="10" spans="1:16" s="1" customFormat="1" x14ac:dyDescent="0.25">
      <c r="A10" s="8">
        <f>TabelaSalarioBase[[#This Row],[Nº]]</f>
        <v>8</v>
      </c>
      <c r="B10" s="8">
        <f>TabelaSalarioBase[[#This Row],[Nome]]</f>
        <v>0</v>
      </c>
      <c r="C10" s="9">
        <f>TabelaSalarioBase[[#This Row],[Cargo]]</f>
        <v>0</v>
      </c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1">
        <f t="shared" si="0"/>
        <v>0</v>
      </c>
    </row>
    <row r="11" spans="1:16" s="1" customFormat="1" x14ac:dyDescent="0.25">
      <c r="A11" s="8">
        <f>TabelaSalarioBase[[#This Row],[Nº]]</f>
        <v>9</v>
      </c>
      <c r="B11" s="8">
        <f>TabelaSalarioBase[[#This Row],[Nome]]</f>
        <v>0</v>
      </c>
      <c r="C11" s="9">
        <f>TabelaSalarioBase[[#This Row],[Cargo]]</f>
        <v>0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1">
        <f t="shared" si="0"/>
        <v>0</v>
      </c>
    </row>
    <row r="12" spans="1:16" s="1" customFormat="1" x14ac:dyDescent="0.25">
      <c r="A12" s="8">
        <f>TabelaSalarioBase[[#This Row],[Nº]]</f>
        <v>10</v>
      </c>
      <c r="B12" s="8">
        <f>TabelaSalarioBase[[#This Row],[Nome]]</f>
        <v>0</v>
      </c>
      <c r="C12" s="9">
        <f>TabelaSalarioBase[[#This Row],[Cargo]]</f>
        <v>0</v>
      </c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1">
        <f t="shared" si="0"/>
        <v>0</v>
      </c>
    </row>
    <row r="13" spans="1:16" s="1" customFormat="1" x14ac:dyDescent="0.25">
      <c r="A13" s="8">
        <f>TabelaSalarioBase[[#This Row],[Nº]]</f>
        <v>11</v>
      </c>
      <c r="B13" s="8">
        <f>TabelaSalarioBase[[#This Row],[Nome]]</f>
        <v>0</v>
      </c>
      <c r="C13" s="9">
        <f>TabelaSalarioBase[[#This Row],[Cargo]]</f>
        <v>0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1">
        <f t="shared" si="0"/>
        <v>0</v>
      </c>
    </row>
    <row r="14" spans="1:16" s="1" customFormat="1" x14ac:dyDescent="0.25">
      <c r="A14" s="8">
        <f>TabelaSalarioBase[[#This Row],[Nº]]</f>
        <v>12</v>
      </c>
      <c r="B14" s="8">
        <f>TabelaSalarioBase[[#This Row],[Nome]]</f>
        <v>0</v>
      </c>
      <c r="C14" s="9">
        <f>TabelaSalarioBase[[#This Row],[Cargo]]</f>
        <v>0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1">
        <f t="shared" si="0"/>
        <v>0</v>
      </c>
    </row>
    <row r="15" spans="1:16" s="1" customFormat="1" x14ac:dyDescent="0.25">
      <c r="A15" s="8">
        <f>TabelaSalarioBase[[#This Row],[Nº]]</f>
        <v>13</v>
      </c>
      <c r="B15" s="8">
        <f>TabelaSalarioBase[[#This Row],[Nome]]</f>
        <v>0</v>
      </c>
      <c r="C15" s="9">
        <f>TabelaSalarioBase[[#This Row],[Cargo]]</f>
        <v>0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1">
        <f t="shared" si="0"/>
        <v>0</v>
      </c>
    </row>
    <row r="16" spans="1:16" s="1" customFormat="1" x14ac:dyDescent="0.25">
      <c r="A16" s="8">
        <f>TabelaSalarioBase[[#This Row],[Nº]]</f>
        <v>14</v>
      </c>
      <c r="B16" s="8">
        <f>TabelaSalarioBase[[#This Row],[Nome]]</f>
        <v>0</v>
      </c>
      <c r="C16" s="9">
        <f>TabelaSalarioBase[[#This Row],[Cargo]]</f>
        <v>0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1">
        <f t="shared" si="0"/>
        <v>0</v>
      </c>
    </row>
    <row r="17" spans="1:16" s="1" customFormat="1" x14ac:dyDescent="0.25">
      <c r="A17" s="8">
        <f>TabelaSalarioBase[[#This Row],[Nº]]</f>
        <v>15</v>
      </c>
      <c r="B17" s="8">
        <f>TabelaSalarioBase[[#This Row],[Nome]]</f>
        <v>0</v>
      </c>
      <c r="C17" s="9">
        <f>TabelaSalarioBase[[#This Row],[Cargo]]</f>
        <v>0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1">
        <f>SUM(D17:O17)</f>
        <v>0</v>
      </c>
    </row>
    <row r="18" spans="1:16" s="1" customFormat="1" x14ac:dyDescent="0.25">
      <c r="A18" s="8">
        <f>TabelaSalarioBase[[#This Row],[Nº]]</f>
        <v>16</v>
      </c>
      <c r="B18" s="8">
        <f>TabelaSalarioBase[[#This Row],[Nome]]</f>
        <v>0</v>
      </c>
      <c r="C18" s="9">
        <f>TabelaSalarioBase[[#This Row],[Cargo]]</f>
        <v>0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1">
        <f t="shared" si="0"/>
        <v>0</v>
      </c>
    </row>
    <row r="19" spans="1:16" s="1" customFormat="1" x14ac:dyDescent="0.25">
      <c r="A19" s="8">
        <f>TabelaSalarioBase[[#This Row],[Nº]]</f>
        <v>17</v>
      </c>
      <c r="B19" s="8">
        <f>TabelaSalarioBase[[#This Row],[Nome]]</f>
        <v>0</v>
      </c>
      <c r="C19" s="9">
        <f>TabelaSalarioBase[[#This Row],[Cargo]]</f>
        <v>0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1">
        <f t="shared" si="0"/>
        <v>0</v>
      </c>
    </row>
    <row r="20" spans="1:16" s="1" customFormat="1" x14ac:dyDescent="0.25">
      <c r="A20" s="8">
        <f>TabelaSalarioBase[[#This Row],[Nº]]</f>
        <v>18</v>
      </c>
      <c r="B20" s="8">
        <f>TabelaSalarioBase[[#This Row],[Nome]]</f>
        <v>0</v>
      </c>
      <c r="C20" s="9">
        <f>TabelaSalarioBase[[#This Row],[Cargo]]</f>
        <v>0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1">
        <f t="shared" si="0"/>
        <v>0</v>
      </c>
    </row>
    <row r="21" spans="1:16" s="1" customFormat="1" x14ac:dyDescent="0.25">
      <c r="A21" s="8">
        <f>TabelaSalarioBase[[#This Row],[Nº]]</f>
        <v>19</v>
      </c>
      <c r="B21" s="8">
        <f>TabelaSalarioBase[[#This Row],[Nome]]</f>
        <v>0</v>
      </c>
      <c r="C21" s="9">
        <f>TabelaSalarioBase[[#This Row],[Cargo]]</f>
        <v>0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1">
        <f>SUM(D21:O21)</f>
        <v>0</v>
      </c>
    </row>
    <row r="22" spans="1:16" s="1" customFormat="1" x14ac:dyDescent="0.25">
      <c r="A22" s="8">
        <f>TabelaSalarioBase[[#This Row],[Nº]]</f>
        <v>20</v>
      </c>
      <c r="B22" s="8">
        <f>TabelaSalarioBase[[#This Row],[Nome]]</f>
        <v>0</v>
      </c>
      <c r="C22" s="9">
        <f>TabelaSalarioBase[[#This Row],[Cargo]]</f>
        <v>0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1">
        <f t="shared" si="0"/>
        <v>0</v>
      </c>
    </row>
    <row r="23" spans="1:16" s="1" customFormat="1" x14ac:dyDescent="0.25">
      <c r="A23" s="8">
        <f>TabelaSalarioBase[[#This Row],[Nº]]</f>
        <v>21</v>
      </c>
      <c r="B23" s="8">
        <f>TabelaSalarioBase[[#This Row],[Nome]]</f>
        <v>0</v>
      </c>
      <c r="C23" s="9">
        <f>TabelaSalarioBase[[#This Row],[Cargo]]</f>
        <v>0</v>
      </c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1">
        <f t="shared" si="0"/>
        <v>0</v>
      </c>
    </row>
    <row r="24" spans="1:16" s="1" customFormat="1" x14ac:dyDescent="0.25">
      <c r="A24" s="8">
        <f>TabelaSalarioBase[[#This Row],[Nº]]</f>
        <v>22</v>
      </c>
      <c r="B24" s="8">
        <f>TabelaSalarioBase[[#This Row],[Nome]]</f>
        <v>0</v>
      </c>
      <c r="C24" s="9">
        <f>TabelaSalarioBase[[#This Row],[Cargo]]</f>
        <v>0</v>
      </c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1">
        <f t="shared" si="0"/>
        <v>0</v>
      </c>
    </row>
    <row r="25" spans="1:16" s="1" customFormat="1" x14ac:dyDescent="0.25">
      <c r="A25" s="8">
        <f>TabelaSalarioBase[[#This Row],[Nº]]</f>
        <v>23</v>
      </c>
      <c r="B25" s="8">
        <f>TabelaSalarioBase[[#This Row],[Nome]]</f>
        <v>0</v>
      </c>
      <c r="C25" s="9">
        <f>TabelaSalarioBase[[#This Row],[Cargo]]</f>
        <v>0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1">
        <f t="shared" si="0"/>
        <v>0</v>
      </c>
    </row>
    <row r="26" spans="1:16" s="1" customFormat="1" x14ac:dyDescent="0.25">
      <c r="A26" s="8">
        <f>TabelaSalarioBase[[#This Row],[Nº]]</f>
        <v>24</v>
      </c>
      <c r="B26" s="8">
        <f>TabelaSalarioBase[[#This Row],[Nome]]</f>
        <v>0</v>
      </c>
      <c r="C26" s="9">
        <f>TabelaSalarioBase[[#This Row],[Cargo]]</f>
        <v>0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1">
        <f t="shared" si="0"/>
        <v>0</v>
      </c>
    </row>
    <row r="27" spans="1:16" s="1" customFormat="1" x14ac:dyDescent="0.25">
      <c r="A27" s="8">
        <f>TabelaSalarioBase[[#This Row],[Nº]]</f>
        <v>25</v>
      </c>
      <c r="B27" s="8">
        <f>TabelaSalarioBase[[#This Row],[Nome]]</f>
        <v>0</v>
      </c>
      <c r="C27" s="9">
        <f>TabelaSalarioBase[[#This Row],[Cargo]]</f>
        <v>0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1">
        <f t="shared" si="0"/>
        <v>0</v>
      </c>
    </row>
    <row r="28" spans="1:16" s="1" customFormat="1" x14ac:dyDescent="0.25">
      <c r="A28" s="8">
        <f>TabelaSalarioBase[[#This Row],[Nº]]</f>
        <v>26</v>
      </c>
      <c r="B28" s="8">
        <f>TabelaSalarioBase[[#This Row],[Nome]]</f>
        <v>0</v>
      </c>
      <c r="C28" s="9">
        <f>TabelaSalarioBase[[#This Row],[Cargo]]</f>
        <v>0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1">
        <f t="shared" si="0"/>
        <v>0</v>
      </c>
    </row>
    <row r="29" spans="1:16" s="1" customFormat="1" x14ac:dyDescent="0.25">
      <c r="A29" s="8">
        <f>TabelaSalarioBase[[#This Row],[Nº]]</f>
        <v>27</v>
      </c>
      <c r="B29" s="8">
        <f>TabelaSalarioBase[[#This Row],[Nome]]</f>
        <v>0</v>
      </c>
      <c r="C29" s="9">
        <f>TabelaSalarioBase[[#This Row],[Cargo]]</f>
        <v>0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1">
        <f t="shared" si="0"/>
        <v>0</v>
      </c>
    </row>
    <row r="30" spans="1:16" s="1" customFormat="1" x14ac:dyDescent="0.25">
      <c r="A30" s="8">
        <f>TabelaSalarioBase[[#This Row],[Nº]]</f>
        <v>28</v>
      </c>
      <c r="B30" s="8">
        <f>TabelaSalarioBase[[#This Row],[Nome]]</f>
        <v>0</v>
      </c>
      <c r="C30" s="9">
        <f>TabelaSalarioBase[[#This Row],[Cargo]]</f>
        <v>0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1">
        <f>SUM(D30:O30)</f>
        <v>0</v>
      </c>
    </row>
    <row r="31" spans="1:16" s="1" customFormat="1" x14ac:dyDescent="0.25">
      <c r="A31" s="8">
        <f>TabelaSalarioBase[[#This Row],[Nº]]</f>
        <v>29</v>
      </c>
      <c r="B31" s="8">
        <f>TabelaSalarioBase[[#This Row],[Nome]]</f>
        <v>0</v>
      </c>
      <c r="C31" s="9">
        <f>TabelaSalarioBase[[#This Row],[Cargo]]</f>
        <v>0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1">
        <f>SUM(D31:O31)</f>
        <v>0</v>
      </c>
    </row>
    <row r="32" spans="1:16" s="1" customFormat="1" x14ac:dyDescent="0.25">
      <c r="A32" s="8">
        <f>TabelaSalarioBase[[#This Row],[Nº]]</f>
        <v>30</v>
      </c>
      <c r="B32" s="18">
        <f>TabelaSalarioBase[[#This Row],[Nome]]</f>
        <v>0</v>
      </c>
      <c r="C32" s="19">
        <f>TabelaSalarioBase[[#This Row],[Cargo]]</f>
        <v>0</v>
      </c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1">
        <f>SUM(D32:O32)</f>
        <v>0</v>
      </c>
    </row>
    <row r="33" spans="1:16" ht="18" x14ac:dyDescent="0.25">
      <c r="A33" s="50" t="s">
        <v>12</v>
      </c>
      <c r="B33" s="51"/>
      <c r="C33" s="51"/>
      <c r="D33" s="44">
        <f>SUM(TabelaVA[Janeiro])</f>
        <v>0</v>
      </c>
      <c r="E33" s="44">
        <f>SUM(TabelaVA[Fevereiro])</f>
        <v>0</v>
      </c>
      <c r="F33" s="44">
        <f>SUM(TabelaVA[Março])</f>
        <v>0</v>
      </c>
      <c r="G33" s="44">
        <f>SUM(TabelaVA[Abril])</f>
        <v>0</v>
      </c>
      <c r="H33" s="44">
        <f>SUM(TabelaVA[Maio])</f>
        <v>0</v>
      </c>
      <c r="I33" s="44">
        <f>SUM(TabelaVA[Junho])</f>
        <v>0</v>
      </c>
      <c r="J33" s="44">
        <f>SUM(TabelaVA[Julho])</f>
        <v>0</v>
      </c>
      <c r="K33" s="44">
        <f>SUM(TabelaVA[Agosto])</f>
        <v>0</v>
      </c>
      <c r="L33" s="44">
        <f>SUM(TabelaVA[Setembro])</f>
        <v>0</v>
      </c>
      <c r="M33" s="44">
        <f>SUM(TabelaVA[Outubro])</f>
        <v>0</v>
      </c>
      <c r="N33" s="44">
        <f>SUM(TabelaVA[Novembro])</f>
        <v>0</v>
      </c>
      <c r="O33" s="44">
        <f>SUM(TabelaVA[Dezembro])</f>
        <v>0</v>
      </c>
      <c r="P33" s="22">
        <f>SUM(P3:P32)</f>
        <v>0</v>
      </c>
    </row>
  </sheetData>
  <mergeCells count="2">
    <mergeCell ref="A1:P1"/>
    <mergeCell ref="A33:C33"/>
  </mergeCells>
  <pageMargins left="0.25" right="0.25" top="0.75" bottom="0.75" header="0.3" footer="0.3"/>
  <pageSetup paperSize="9" scale="56" fitToHeight="0" orientation="landscape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E951B-E85B-430B-B57B-82E847577866}">
  <sheetPr>
    <pageSetUpPr fitToPage="1"/>
  </sheetPr>
  <dimension ref="A1:P33"/>
  <sheetViews>
    <sheetView zoomScale="80" zoomScaleNormal="80" workbookViewId="0">
      <selection activeCell="O33" sqref="O33"/>
    </sheetView>
  </sheetViews>
  <sheetFormatPr defaultRowHeight="12.75" x14ac:dyDescent="0.2"/>
  <cols>
    <col min="1" max="1" width="3.42578125" style="7" bestFit="1" customWidth="1"/>
    <col min="2" max="2" width="35.7109375" style="7" customWidth="1"/>
    <col min="3" max="3" width="30.7109375" style="7" customWidth="1"/>
    <col min="4" max="7" width="14.28515625" style="2" bestFit="1" customWidth="1"/>
    <col min="8" max="15" width="13" style="2" bestFit="1" customWidth="1"/>
    <col min="16" max="16" width="21.42578125" style="2" bestFit="1" customWidth="1"/>
    <col min="17" max="16384" width="9.140625" style="2"/>
  </cols>
  <sheetData>
    <row r="1" spans="1:16" s="1" customFormat="1" ht="50.1" customHeight="1" thickBot="1" x14ac:dyDescent="0.3">
      <c r="A1" s="47" t="s">
        <v>76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9"/>
    </row>
    <row r="2" spans="1:16" s="1" customFormat="1" x14ac:dyDescent="0.25">
      <c r="A2" s="5" t="s">
        <v>25</v>
      </c>
      <c r="B2" s="5" t="s">
        <v>0</v>
      </c>
      <c r="C2" s="6" t="s">
        <v>1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24</v>
      </c>
      <c r="I2" s="3" t="s">
        <v>20</v>
      </c>
      <c r="J2" s="3" t="s">
        <v>21</v>
      </c>
      <c r="K2" s="3" t="s">
        <v>22</v>
      </c>
      <c r="L2" s="3" t="s">
        <v>29</v>
      </c>
      <c r="M2" s="3" t="s">
        <v>23</v>
      </c>
      <c r="N2" s="3" t="s">
        <v>27</v>
      </c>
      <c r="O2" s="3" t="s">
        <v>28</v>
      </c>
      <c r="P2" s="4" t="s">
        <v>2</v>
      </c>
    </row>
    <row r="3" spans="1:16" s="1" customFormat="1" x14ac:dyDescent="0.25">
      <c r="A3" s="8">
        <f>TabelaSalarioBase[[#This Row],[Nº]]</f>
        <v>1</v>
      </c>
      <c r="B3" s="8">
        <f>TabelaSalarioBase[[#This Row],[Nome]]</f>
        <v>0</v>
      </c>
      <c r="C3" s="9">
        <f>TabelaSalarioBase[[#This Row],[Cargo]]</f>
        <v>0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>
        <f>SUM(D3:O3)</f>
        <v>0</v>
      </c>
    </row>
    <row r="4" spans="1:16" s="1" customFormat="1" x14ac:dyDescent="0.25">
      <c r="A4" s="8">
        <f>TabelaSalarioBase[[#This Row],[Nº]]</f>
        <v>2</v>
      </c>
      <c r="B4" s="8">
        <f>TabelaSalarioBase[[#This Row],[Nome]]</f>
        <v>0</v>
      </c>
      <c r="C4" s="9">
        <f>TabelaSalarioBase[[#This Row],[Cargo]]</f>
        <v>0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1">
        <f t="shared" ref="P4:P29" si="0">SUM(D4:O4)</f>
        <v>0</v>
      </c>
    </row>
    <row r="5" spans="1:16" s="1" customFormat="1" x14ac:dyDescent="0.25">
      <c r="A5" s="8">
        <f>TabelaSalarioBase[[#This Row],[Nº]]</f>
        <v>3</v>
      </c>
      <c r="B5" s="8">
        <f>TabelaSalarioBase[[#This Row],[Nome]]</f>
        <v>0</v>
      </c>
      <c r="C5" s="9">
        <f>TabelaSalarioBase[[#This Row],[Cargo]]</f>
        <v>0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1">
        <f t="shared" si="0"/>
        <v>0</v>
      </c>
    </row>
    <row r="6" spans="1:16" s="1" customFormat="1" x14ac:dyDescent="0.25">
      <c r="A6" s="8">
        <f>TabelaSalarioBase[[#This Row],[Nº]]</f>
        <v>4</v>
      </c>
      <c r="B6" s="8">
        <f>TabelaSalarioBase[[#This Row],[Nome]]</f>
        <v>0</v>
      </c>
      <c r="C6" s="9">
        <f>TabelaSalarioBase[[#This Row],[Cargo]]</f>
        <v>0</v>
      </c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1">
        <f t="shared" si="0"/>
        <v>0</v>
      </c>
    </row>
    <row r="7" spans="1:16" s="1" customFormat="1" x14ac:dyDescent="0.25">
      <c r="A7" s="8">
        <f>TabelaSalarioBase[[#This Row],[Nº]]</f>
        <v>5</v>
      </c>
      <c r="B7" s="8">
        <f>TabelaSalarioBase[[#This Row],[Nome]]</f>
        <v>0</v>
      </c>
      <c r="C7" s="9">
        <f>TabelaSalarioBase[[#This Row],[Cargo]]</f>
        <v>0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1">
        <f t="shared" si="0"/>
        <v>0</v>
      </c>
    </row>
    <row r="8" spans="1:16" s="1" customFormat="1" x14ac:dyDescent="0.25">
      <c r="A8" s="8">
        <f>TabelaSalarioBase[[#This Row],[Nº]]</f>
        <v>6</v>
      </c>
      <c r="B8" s="8">
        <f>TabelaSalarioBase[[#This Row],[Nome]]</f>
        <v>0</v>
      </c>
      <c r="C8" s="9">
        <f>TabelaSalarioBase[[#This Row],[Cargo]]</f>
        <v>0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1">
        <f t="shared" si="0"/>
        <v>0</v>
      </c>
    </row>
    <row r="9" spans="1:16" s="1" customFormat="1" x14ac:dyDescent="0.25">
      <c r="A9" s="8">
        <f>TabelaSalarioBase[[#This Row],[Nº]]</f>
        <v>7</v>
      </c>
      <c r="B9" s="8">
        <f>TabelaSalarioBase[[#This Row],[Nome]]</f>
        <v>0</v>
      </c>
      <c r="C9" s="9">
        <f>TabelaSalarioBase[[#This Row],[Cargo]]</f>
        <v>0</v>
      </c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1">
        <f t="shared" si="0"/>
        <v>0</v>
      </c>
    </row>
    <row r="10" spans="1:16" s="1" customFormat="1" x14ac:dyDescent="0.25">
      <c r="A10" s="8">
        <f>TabelaSalarioBase[[#This Row],[Nº]]</f>
        <v>8</v>
      </c>
      <c r="B10" s="8">
        <f>TabelaSalarioBase[[#This Row],[Nome]]</f>
        <v>0</v>
      </c>
      <c r="C10" s="9">
        <f>TabelaSalarioBase[[#This Row],[Cargo]]</f>
        <v>0</v>
      </c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1">
        <f t="shared" si="0"/>
        <v>0</v>
      </c>
    </row>
    <row r="11" spans="1:16" s="1" customFormat="1" x14ac:dyDescent="0.25">
      <c r="A11" s="8">
        <f>TabelaSalarioBase[[#This Row],[Nº]]</f>
        <v>9</v>
      </c>
      <c r="B11" s="8">
        <f>TabelaSalarioBase[[#This Row],[Nome]]</f>
        <v>0</v>
      </c>
      <c r="C11" s="9">
        <f>TabelaSalarioBase[[#This Row],[Cargo]]</f>
        <v>0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1">
        <f t="shared" si="0"/>
        <v>0</v>
      </c>
    </row>
    <row r="12" spans="1:16" s="1" customFormat="1" x14ac:dyDescent="0.25">
      <c r="A12" s="8">
        <f>TabelaSalarioBase[[#This Row],[Nº]]</f>
        <v>10</v>
      </c>
      <c r="B12" s="8">
        <f>TabelaSalarioBase[[#This Row],[Nome]]</f>
        <v>0</v>
      </c>
      <c r="C12" s="9">
        <f>TabelaSalarioBase[[#This Row],[Cargo]]</f>
        <v>0</v>
      </c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1">
        <f t="shared" si="0"/>
        <v>0</v>
      </c>
    </row>
    <row r="13" spans="1:16" s="1" customFormat="1" x14ac:dyDescent="0.25">
      <c r="A13" s="8">
        <f>TabelaSalarioBase[[#This Row],[Nº]]</f>
        <v>11</v>
      </c>
      <c r="B13" s="8">
        <f>TabelaSalarioBase[[#This Row],[Nome]]</f>
        <v>0</v>
      </c>
      <c r="C13" s="9">
        <f>TabelaSalarioBase[[#This Row],[Cargo]]</f>
        <v>0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1">
        <f t="shared" si="0"/>
        <v>0</v>
      </c>
    </row>
    <row r="14" spans="1:16" s="1" customFormat="1" x14ac:dyDescent="0.25">
      <c r="A14" s="8">
        <f>TabelaSalarioBase[[#This Row],[Nº]]</f>
        <v>12</v>
      </c>
      <c r="B14" s="8">
        <f>TabelaSalarioBase[[#This Row],[Nome]]</f>
        <v>0</v>
      </c>
      <c r="C14" s="9">
        <f>TabelaSalarioBase[[#This Row],[Cargo]]</f>
        <v>0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1">
        <f t="shared" si="0"/>
        <v>0</v>
      </c>
    </row>
    <row r="15" spans="1:16" s="1" customFormat="1" x14ac:dyDescent="0.25">
      <c r="A15" s="8">
        <f>TabelaSalarioBase[[#This Row],[Nº]]</f>
        <v>13</v>
      </c>
      <c r="B15" s="8">
        <f>TabelaSalarioBase[[#This Row],[Nome]]</f>
        <v>0</v>
      </c>
      <c r="C15" s="9">
        <f>TabelaSalarioBase[[#This Row],[Cargo]]</f>
        <v>0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1">
        <f t="shared" si="0"/>
        <v>0</v>
      </c>
    </row>
    <row r="16" spans="1:16" s="1" customFormat="1" x14ac:dyDescent="0.25">
      <c r="A16" s="8">
        <f>TabelaSalarioBase[[#This Row],[Nº]]</f>
        <v>14</v>
      </c>
      <c r="B16" s="8">
        <f>TabelaSalarioBase[[#This Row],[Nome]]</f>
        <v>0</v>
      </c>
      <c r="C16" s="9">
        <f>TabelaSalarioBase[[#This Row],[Cargo]]</f>
        <v>0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1">
        <f t="shared" si="0"/>
        <v>0</v>
      </c>
    </row>
    <row r="17" spans="1:16" s="1" customFormat="1" x14ac:dyDescent="0.25">
      <c r="A17" s="8">
        <f>TabelaSalarioBase[[#This Row],[Nº]]</f>
        <v>15</v>
      </c>
      <c r="B17" s="8">
        <f>TabelaSalarioBase[[#This Row],[Nome]]</f>
        <v>0</v>
      </c>
      <c r="C17" s="9">
        <f>TabelaSalarioBase[[#This Row],[Cargo]]</f>
        <v>0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1">
        <f>SUM(D17:O17)</f>
        <v>0</v>
      </c>
    </row>
    <row r="18" spans="1:16" s="1" customFormat="1" x14ac:dyDescent="0.25">
      <c r="A18" s="8">
        <f>TabelaSalarioBase[[#This Row],[Nº]]</f>
        <v>16</v>
      </c>
      <c r="B18" s="8">
        <f>TabelaSalarioBase[[#This Row],[Nome]]</f>
        <v>0</v>
      </c>
      <c r="C18" s="9">
        <f>TabelaSalarioBase[[#This Row],[Cargo]]</f>
        <v>0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1">
        <f t="shared" si="0"/>
        <v>0</v>
      </c>
    </row>
    <row r="19" spans="1:16" s="1" customFormat="1" x14ac:dyDescent="0.25">
      <c r="A19" s="8">
        <f>TabelaSalarioBase[[#This Row],[Nº]]</f>
        <v>17</v>
      </c>
      <c r="B19" s="8">
        <f>TabelaSalarioBase[[#This Row],[Nome]]</f>
        <v>0</v>
      </c>
      <c r="C19" s="9">
        <f>TabelaSalarioBase[[#This Row],[Cargo]]</f>
        <v>0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1">
        <f t="shared" si="0"/>
        <v>0</v>
      </c>
    </row>
    <row r="20" spans="1:16" s="1" customFormat="1" x14ac:dyDescent="0.25">
      <c r="A20" s="8">
        <f>TabelaSalarioBase[[#This Row],[Nº]]</f>
        <v>18</v>
      </c>
      <c r="B20" s="8">
        <f>TabelaSalarioBase[[#This Row],[Nome]]</f>
        <v>0</v>
      </c>
      <c r="C20" s="9">
        <f>TabelaSalarioBase[[#This Row],[Cargo]]</f>
        <v>0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1">
        <f t="shared" si="0"/>
        <v>0</v>
      </c>
    </row>
    <row r="21" spans="1:16" s="1" customFormat="1" x14ac:dyDescent="0.25">
      <c r="A21" s="8">
        <f>TabelaSalarioBase[[#This Row],[Nº]]</f>
        <v>19</v>
      </c>
      <c r="B21" s="8">
        <f>TabelaSalarioBase[[#This Row],[Nome]]</f>
        <v>0</v>
      </c>
      <c r="C21" s="9">
        <f>TabelaSalarioBase[[#This Row],[Cargo]]</f>
        <v>0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1">
        <f>SUM(D21:O21)</f>
        <v>0</v>
      </c>
    </row>
    <row r="22" spans="1:16" s="1" customFormat="1" x14ac:dyDescent="0.25">
      <c r="A22" s="8">
        <f>TabelaSalarioBase[[#This Row],[Nº]]</f>
        <v>20</v>
      </c>
      <c r="B22" s="8">
        <f>TabelaSalarioBase[[#This Row],[Nome]]</f>
        <v>0</v>
      </c>
      <c r="C22" s="9">
        <f>TabelaSalarioBase[[#This Row],[Cargo]]</f>
        <v>0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1">
        <f t="shared" si="0"/>
        <v>0</v>
      </c>
    </row>
    <row r="23" spans="1:16" s="1" customFormat="1" x14ac:dyDescent="0.25">
      <c r="A23" s="8">
        <f>TabelaSalarioBase[[#This Row],[Nº]]</f>
        <v>21</v>
      </c>
      <c r="B23" s="8">
        <f>TabelaSalarioBase[[#This Row],[Nome]]</f>
        <v>0</v>
      </c>
      <c r="C23" s="9">
        <f>TabelaSalarioBase[[#This Row],[Cargo]]</f>
        <v>0</v>
      </c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1">
        <f t="shared" si="0"/>
        <v>0</v>
      </c>
    </row>
    <row r="24" spans="1:16" s="1" customFormat="1" x14ac:dyDescent="0.25">
      <c r="A24" s="8">
        <f>TabelaSalarioBase[[#This Row],[Nº]]</f>
        <v>22</v>
      </c>
      <c r="B24" s="8">
        <f>TabelaSalarioBase[[#This Row],[Nome]]</f>
        <v>0</v>
      </c>
      <c r="C24" s="9">
        <f>TabelaSalarioBase[[#This Row],[Cargo]]</f>
        <v>0</v>
      </c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1">
        <f t="shared" si="0"/>
        <v>0</v>
      </c>
    </row>
    <row r="25" spans="1:16" s="1" customFormat="1" x14ac:dyDescent="0.25">
      <c r="A25" s="8">
        <f>TabelaSalarioBase[[#This Row],[Nº]]</f>
        <v>23</v>
      </c>
      <c r="B25" s="8">
        <f>TabelaSalarioBase[[#This Row],[Nome]]</f>
        <v>0</v>
      </c>
      <c r="C25" s="9">
        <f>TabelaSalarioBase[[#This Row],[Cargo]]</f>
        <v>0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1">
        <f t="shared" si="0"/>
        <v>0</v>
      </c>
    </row>
    <row r="26" spans="1:16" s="1" customFormat="1" x14ac:dyDescent="0.25">
      <c r="A26" s="8">
        <f>TabelaSalarioBase[[#This Row],[Nº]]</f>
        <v>24</v>
      </c>
      <c r="B26" s="8">
        <f>TabelaSalarioBase[[#This Row],[Nome]]</f>
        <v>0</v>
      </c>
      <c r="C26" s="9">
        <f>TabelaSalarioBase[[#This Row],[Cargo]]</f>
        <v>0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1">
        <f t="shared" si="0"/>
        <v>0</v>
      </c>
    </row>
    <row r="27" spans="1:16" s="1" customFormat="1" x14ac:dyDescent="0.25">
      <c r="A27" s="8">
        <f>TabelaSalarioBase[[#This Row],[Nº]]</f>
        <v>25</v>
      </c>
      <c r="B27" s="8">
        <f>TabelaSalarioBase[[#This Row],[Nome]]</f>
        <v>0</v>
      </c>
      <c r="C27" s="9">
        <f>TabelaSalarioBase[[#This Row],[Cargo]]</f>
        <v>0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1">
        <f t="shared" si="0"/>
        <v>0</v>
      </c>
    </row>
    <row r="28" spans="1:16" s="1" customFormat="1" x14ac:dyDescent="0.25">
      <c r="A28" s="8">
        <f>TabelaSalarioBase[[#This Row],[Nº]]</f>
        <v>26</v>
      </c>
      <c r="B28" s="8">
        <f>TabelaSalarioBase[[#This Row],[Nome]]</f>
        <v>0</v>
      </c>
      <c r="C28" s="9">
        <f>TabelaSalarioBase[[#This Row],[Cargo]]</f>
        <v>0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1">
        <f t="shared" si="0"/>
        <v>0</v>
      </c>
    </row>
    <row r="29" spans="1:16" s="1" customFormat="1" x14ac:dyDescent="0.25">
      <c r="A29" s="8">
        <f>TabelaSalarioBase[[#This Row],[Nº]]</f>
        <v>27</v>
      </c>
      <c r="B29" s="8">
        <f>TabelaSalarioBase[[#This Row],[Nome]]</f>
        <v>0</v>
      </c>
      <c r="C29" s="9">
        <f>TabelaSalarioBase[[#This Row],[Cargo]]</f>
        <v>0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1">
        <f t="shared" si="0"/>
        <v>0</v>
      </c>
    </row>
    <row r="30" spans="1:16" s="1" customFormat="1" x14ac:dyDescent="0.25">
      <c r="A30" s="8">
        <f>TabelaSalarioBase[[#This Row],[Nº]]</f>
        <v>28</v>
      </c>
      <c r="B30" s="8">
        <f>TabelaSalarioBase[[#This Row],[Nome]]</f>
        <v>0</v>
      </c>
      <c r="C30" s="9">
        <f>TabelaSalarioBase[[#This Row],[Cargo]]</f>
        <v>0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1">
        <f>SUM(D30:O30)</f>
        <v>0</v>
      </c>
    </row>
    <row r="31" spans="1:16" s="1" customFormat="1" x14ac:dyDescent="0.25">
      <c r="A31" s="8">
        <f>TabelaSalarioBase[[#This Row],[Nº]]</f>
        <v>29</v>
      </c>
      <c r="B31" s="8">
        <f>TabelaSalarioBase[[#This Row],[Nome]]</f>
        <v>0</v>
      </c>
      <c r="C31" s="9">
        <f>TabelaSalarioBase[[#This Row],[Cargo]]</f>
        <v>0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1">
        <f>SUM(D31:O31)</f>
        <v>0</v>
      </c>
    </row>
    <row r="32" spans="1:16" s="1" customFormat="1" x14ac:dyDescent="0.25">
      <c r="A32" s="8">
        <f>TabelaSalarioBase[[#This Row],[Nº]]</f>
        <v>30</v>
      </c>
      <c r="B32" s="18">
        <f>TabelaSalarioBase[[#This Row],[Nome]]</f>
        <v>0</v>
      </c>
      <c r="C32" s="19">
        <f>TabelaSalarioBase[[#This Row],[Cargo]]</f>
        <v>0</v>
      </c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1">
        <f>SUM(D32:O32)</f>
        <v>0</v>
      </c>
    </row>
    <row r="33" spans="1:16" ht="18" x14ac:dyDescent="0.25">
      <c r="A33" s="50" t="s">
        <v>12</v>
      </c>
      <c r="B33" s="51"/>
      <c r="C33" s="51"/>
      <c r="D33" s="44">
        <f>SUM(TabelaVR[Janeiro])</f>
        <v>0</v>
      </c>
      <c r="E33" s="44">
        <f>SUM(TabelaVR[Fevereiro])</f>
        <v>0</v>
      </c>
      <c r="F33" s="44">
        <f>SUM(TabelaVR[Março])</f>
        <v>0</v>
      </c>
      <c r="G33" s="44">
        <f>SUM(TabelaVR[Abril])</f>
        <v>0</v>
      </c>
      <c r="H33" s="44">
        <f>SUM(TabelaVR[Maio])</f>
        <v>0</v>
      </c>
      <c r="I33" s="44">
        <f>SUM(TabelaVR[Junho])</f>
        <v>0</v>
      </c>
      <c r="J33" s="44">
        <f>SUM(TabelaVR[Julho])</f>
        <v>0</v>
      </c>
      <c r="K33" s="44">
        <f>SUM(TabelaVR[Agosto])</f>
        <v>0</v>
      </c>
      <c r="L33" s="44">
        <f>SUM(TabelaVR[Setembro])</f>
        <v>0</v>
      </c>
      <c r="M33" s="44">
        <f>SUM(TabelaVR[Outubro])</f>
        <v>0</v>
      </c>
      <c r="N33" s="44">
        <f>SUM(TabelaVR[Novembro])</f>
        <v>0</v>
      </c>
      <c r="O33" s="44">
        <f>SUM(TabelaVR[Dezembro])</f>
        <v>0</v>
      </c>
      <c r="P33" s="22">
        <f>SUM(P3:P32)</f>
        <v>0</v>
      </c>
    </row>
  </sheetData>
  <mergeCells count="2">
    <mergeCell ref="A1:P1"/>
    <mergeCell ref="A33:C33"/>
  </mergeCells>
  <pageMargins left="0.25" right="0.25" top="0.75" bottom="0.75" header="0.3" footer="0.3"/>
  <pageSetup paperSize="9" scale="56" fitToHeight="0" orientation="landscape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824FE-F66C-4750-9269-CE141B2D6E2C}">
  <sheetPr>
    <pageSetUpPr fitToPage="1"/>
  </sheetPr>
  <dimension ref="A1:P33"/>
  <sheetViews>
    <sheetView zoomScale="80" zoomScaleNormal="80" workbookViewId="0">
      <selection activeCell="C18" sqref="C18"/>
    </sheetView>
  </sheetViews>
  <sheetFormatPr defaultRowHeight="12.75" x14ac:dyDescent="0.2"/>
  <cols>
    <col min="1" max="1" width="3.42578125" style="7" bestFit="1" customWidth="1"/>
    <col min="2" max="2" width="35.7109375" style="7" customWidth="1"/>
    <col min="3" max="3" width="30.7109375" style="7" customWidth="1"/>
    <col min="4" max="7" width="14.28515625" style="2" bestFit="1" customWidth="1"/>
    <col min="8" max="15" width="13" style="2" bestFit="1" customWidth="1"/>
    <col min="16" max="16" width="21.42578125" style="2" bestFit="1" customWidth="1"/>
    <col min="17" max="16384" width="9.140625" style="2"/>
  </cols>
  <sheetData>
    <row r="1" spans="1:16" s="1" customFormat="1" ht="50.1" customHeight="1" thickBot="1" x14ac:dyDescent="0.3">
      <c r="A1" s="47" t="s">
        <v>77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9"/>
    </row>
    <row r="2" spans="1:16" s="1" customFormat="1" x14ac:dyDescent="0.25">
      <c r="A2" s="5" t="s">
        <v>25</v>
      </c>
      <c r="B2" s="5" t="s">
        <v>0</v>
      </c>
      <c r="C2" s="6" t="s">
        <v>1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24</v>
      </c>
      <c r="I2" s="3" t="s">
        <v>20</v>
      </c>
      <c r="J2" s="3" t="s">
        <v>21</v>
      </c>
      <c r="K2" s="3" t="s">
        <v>22</v>
      </c>
      <c r="L2" s="3" t="s">
        <v>29</v>
      </c>
      <c r="M2" s="3" t="s">
        <v>23</v>
      </c>
      <c r="N2" s="3" t="s">
        <v>27</v>
      </c>
      <c r="O2" s="3" t="s">
        <v>28</v>
      </c>
      <c r="P2" s="4" t="s">
        <v>2</v>
      </c>
    </row>
    <row r="3" spans="1:16" s="1" customFormat="1" x14ac:dyDescent="0.25">
      <c r="A3" s="8">
        <f>TabelaSalarioBase[[#This Row],[Nº]]</f>
        <v>1</v>
      </c>
      <c r="B3" s="8">
        <f>TabelaSalarioBase[[#This Row],[Nome]]</f>
        <v>0</v>
      </c>
      <c r="C3" s="9">
        <f>TabelaSalarioBase[[#This Row],[Cargo]]</f>
        <v>0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>
        <f>SUM(D3:O3)</f>
        <v>0</v>
      </c>
    </row>
    <row r="4" spans="1:16" s="1" customFormat="1" x14ac:dyDescent="0.25">
      <c r="A4" s="8">
        <f>TabelaSalarioBase[[#This Row],[Nº]]</f>
        <v>2</v>
      </c>
      <c r="B4" s="8">
        <f>TabelaSalarioBase[[#This Row],[Nome]]</f>
        <v>0</v>
      </c>
      <c r="C4" s="9">
        <f>TabelaSalarioBase[[#This Row],[Cargo]]</f>
        <v>0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1">
        <f t="shared" ref="P4:P29" si="0">SUM(D4:O4)</f>
        <v>0</v>
      </c>
    </row>
    <row r="5" spans="1:16" s="1" customFormat="1" x14ac:dyDescent="0.25">
      <c r="A5" s="8">
        <f>TabelaSalarioBase[[#This Row],[Nº]]</f>
        <v>3</v>
      </c>
      <c r="B5" s="8">
        <f>TabelaSalarioBase[[#This Row],[Nome]]</f>
        <v>0</v>
      </c>
      <c r="C5" s="9">
        <f>TabelaSalarioBase[[#This Row],[Cargo]]</f>
        <v>0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1">
        <f t="shared" si="0"/>
        <v>0</v>
      </c>
    </row>
    <row r="6" spans="1:16" s="1" customFormat="1" x14ac:dyDescent="0.25">
      <c r="A6" s="8">
        <f>TabelaSalarioBase[[#This Row],[Nº]]</f>
        <v>4</v>
      </c>
      <c r="B6" s="8">
        <f>TabelaSalarioBase[[#This Row],[Nome]]</f>
        <v>0</v>
      </c>
      <c r="C6" s="9">
        <f>TabelaSalarioBase[[#This Row],[Cargo]]</f>
        <v>0</v>
      </c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1">
        <f t="shared" si="0"/>
        <v>0</v>
      </c>
    </row>
    <row r="7" spans="1:16" s="1" customFormat="1" x14ac:dyDescent="0.25">
      <c r="A7" s="8">
        <f>TabelaSalarioBase[[#This Row],[Nº]]</f>
        <v>5</v>
      </c>
      <c r="B7" s="8">
        <f>TabelaSalarioBase[[#This Row],[Nome]]</f>
        <v>0</v>
      </c>
      <c r="C7" s="9">
        <f>TabelaSalarioBase[[#This Row],[Cargo]]</f>
        <v>0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1">
        <f t="shared" si="0"/>
        <v>0</v>
      </c>
    </row>
    <row r="8" spans="1:16" s="1" customFormat="1" x14ac:dyDescent="0.25">
      <c r="A8" s="8">
        <f>TabelaSalarioBase[[#This Row],[Nº]]</f>
        <v>6</v>
      </c>
      <c r="B8" s="8">
        <f>TabelaSalarioBase[[#This Row],[Nome]]</f>
        <v>0</v>
      </c>
      <c r="C8" s="9">
        <f>TabelaSalarioBase[[#This Row],[Cargo]]</f>
        <v>0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1">
        <f t="shared" si="0"/>
        <v>0</v>
      </c>
    </row>
    <row r="9" spans="1:16" s="1" customFormat="1" x14ac:dyDescent="0.25">
      <c r="A9" s="8">
        <f>TabelaSalarioBase[[#This Row],[Nº]]</f>
        <v>7</v>
      </c>
      <c r="B9" s="8">
        <f>TabelaSalarioBase[[#This Row],[Nome]]</f>
        <v>0</v>
      </c>
      <c r="C9" s="9">
        <f>TabelaSalarioBase[[#This Row],[Cargo]]</f>
        <v>0</v>
      </c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1">
        <f t="shared" si="0"/>
        <v>0</v>
      </c>
    </row>
    <row r="10" spans="1:16" s="1" customFormat="1" x14ac:dyDescent="0.25">
      <c r="A10" s="8">
        <f>TabelaSalarioBase[[#This Row],[Nº]]</f>
        <v>8</v>
      </c>
      <c r="B10" s="8">
        <f>TabelaSalarioBase[[#This Row],[Nome]]</f>
        <v>0</v>
      </c>
      <c r="C10" s="9">
        <f>TabelaSalarioBase[[#This Row],[Cargo]]</f>
        <v>0</v>
      </c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1">
        <f t="shared" si="0"/>
        <v>0</v>
      </c>
    </row>
    <row r="11" spans="1:16" s="1" customFormat="1" x14ac:dyDescent="0.25">
      <c r="A11" s="8">
        <f>TabelaSalarioBase[[#This Row],[Nº]]</f>
        <v>9</v>
      </c>
      <c r="B11" s="8">
        <f>TabelaSalarioBase[[#This Row],[Nome]]</f>
        <v>0</v>
      </c>
      <c r="C11" s="9">
        <f>TabelaSalarioBase[[#This Row],[Cargo]]</f>
        <v>0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1">
        <f t="shared" si="0"/>
        <v>0</v>
      </c>
    </row>
    <row r="12" spans="1:16" s="1" customFormat="1" x14ac:dyDescent="0.25">
      <c r="A12" s="8">
        <f>TabelaSalarioBase[[#This Row],[Nº]]</f>
        <v>10</v>
      </c>
      <c r="B12" s="8">
        <f>TabelaSalarioBase[[#This Row],[Nome]]</f>
        <v>0</v>
      </c>
      <c r="C12" s="9">
        <f>TabelaSalarioBase[[#This Row],[Cargo]]</f>
        <v>0</v>
      </c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1">
        <f t="shared" si="0"/>
        <v>0</v>
      </c>
    </row>
    <row r="13" spans="1:16" s="1" customFormat="1" x14ac:dyDescent="0.25">
      <c r="A13" s="8">
        <f>TabelaSalarioBase[[#This Row],[Nº]]</f>
        <v>11</v>
      </c>
      <c r="B13" s="8">
        <f>TabelaSalarioBase[[#This Row],[Nome]]</f>
        <v>0</v>
      </c>
      <c r="C13" s="9">
        <f>TabelaSalarioBase[[#This Row],[Cargo]]</f>
        <v>0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1">
        <f t="shared" si="0"/>
        <v>0</v>
      </c>
    </row>
    <row r="14" spans="1:16" s="1" customFormat="1" x14ac:dyDescent="0.25">
      <c r="A14" s="8">
        <f>TabelaSalarioBase[[#This Row],[Nº]]</f>
        <v>12</v>
      </c>
      <c r="B14" s="8">
        <f>TabelaSalarioBase[[#This Row],[Nome]]</f>
        <v>0</v>
      </c>
      <c r="C14" s="9">
        <f>TabelaSalarioBase[[#This Row],[Cargo]]</f>
        <v>0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1">
        <f t="shared" si="0"/>
        <v>0</v>
      </c>
    </row>
    <row r="15" spans="1:16" s="1" customFormat="1" x14ac:dyDescent="0.25">
      <c r="A15" s="8">
        <f>TabelaSalarioBase[[#This Row],[Nº]]</f>
        <v>13</v>
      </c>
      <c r="B15" s="8">
        <f>TabelaSalarioBase[[#This Row],[Nome]]</f>
        <v>0</v>
      </c>
      <c r="C15" s="9">
        <f>TabelaSalarioBase[[#This Row],[Cargo]]</f>
        <v>0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1">
        <f t="shared" si="0"/>
        <v>0</v>
      </c>
    </row>
    <row r="16" spans="1:16" s="1" customFormat="1" x14ac:dyDescent="0.25">
      <c r="A16" s="8">
        <f>TabelaSalarioBase[[#This Row],[Nº]]</f>
        <v>14</v>
      </c>
      <c r="B16" s="8">
        <f>TabelaSalarioBase[[#This Row],[Nome]]</f>
        <v>0</v>
      </c>
      <c r="C16" s="9">
        <f>TabelaSalarioBase[[#This Row],[Cargo]]</f>
        <v>0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1">
        <f t="shared" si="0"/>
        <v>0</v>
      </c>
    </row>
    <row r="17" spans="1:16" s="1" customFormat="1" x14ac:dyDescent="0.25">
      <c r="A17" s="8">
        <f>TabelaSalarioBase[[#This Row],[Nº]]</f>
        <v>15</v>
      </c>
      <c r="B17" s="8">
        <f>TabelaSalarioBase[[#This Row],[Nome]]</f>
        <v>0</v>
      </c>
      <c r="C17" s="9">
        <f>TabelaSalarioBase[[#This Row],[Cargo]]</f>
        <v>0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1">
        <f>SUM(D17:O17)</f>
        <v>0</v>
      </c>
    </row>
    <row r="18" spans="1:16" s="1" customFormat="1" x14ac:dyDescent="0.25">
      <c r="A18" s="8">
        <f>TabelaSalarioBase[[#This Row],[Nº]]</f>
        <v>16</v>
      </c>
      <c r="B18" s="8">
        <f>TabelaSalarioBase[[#This Row],[Nome]]</f>
        <v>0</v>
      </c>
      <c r="C18" s="9">
        <f>TabelaSalarioBase[[#This Row],[Cargo]]</f>
        <v>0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1">
        <f t="shared" si="0"/>
        <v>0</v>
      </c>
    </row>
    <row r="19" spans="1:16" s="1" customFormat="1" x14ac:dyDescent="0.25">
      <c r="A19" s="8">
        <f>TabelaSalarioBase[[#This Row],[Nº]]</f>
        <v>17</v>
      </c>
      <c r="B19" s="8">
        <f>TabelaSalarioBase[[#This Row],[Nome]]</f>
        <v>0</v>
      </c>
      <c r="C19" s="9">
        <f>TabelaSalarioBase[[#This Row],[Cargo]]</f>
        <v>0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1">
        <f t="shared" si="0"/>
        <v>0</v>
      </c>
    </row>
    <row r="20" spans="1:16" s="1" customFormat="1" x14ac:dyDescent="0.25">
      <c r="A20" s="8">
        <f>TabelaSalarioBase[[#This Row],[Nº]]</f>
        <v>18</v>
      </c>
      <c r="B20" s="8">
        <f>TabelaSalarioBase[[#This Row],[Nome]]</f>
        <v>0</v>
      </c>
      <c r="C20" s="9">
        <f>TabelaSalarioBase[[#This Row],[Cargo]]</f>
        <v>0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1">
        <f t="shared" si="0"/>
        <v>0</v>
      </c>
    </row>
    <row r="21" spans="1:16" s="1" customFormat="1" x14ac:dyDescent="0.25">
      <c r="A21" s="8">
        <f>TabelaSalarioBase[[#This Row],[Nº]]</f>
        <v>19</v>
      </c>
      <c r="B21" s="8">
        <f>TabelaSalarioBase[[#This Row],[Nome]]</f>
        <v>0</v>
      </c>
      <c r="C21" s="9">
        <f>TabelaSalarioBase[[#This Row],[Cargo]]</f>
        <v>0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1">
        <f>SUM(D21:O21)</f>
        <v>0</v>
      </c>
    </row>
    <row r="22" spans="1:16" s="1" customFormat="1" x14ac:dyDescent="0.25">
      <c r="A22" s="8">
        <f>TabelaSalarioBase[[#This Row],[Nº]]</f>
        <v>20</v>
      </c>
      <c r="B22" s="8">
        <f>TabelaSalarioBase[[#This Row],[Nome]]</f>
        <v>0</v>
      </c>
      <c r="C22" s="9">
        <f>TabelaSalarioBase[[#This Row],[Cargo]]</f>
        <v>0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1">
        <f t="shared" si="0"/>
        <v>0</v>
      </c>
    </row>
    <row r="23" spans="1:16" s="1" customFormat="1" x14ac:dyDescent="0.25">
      <c r="A23" s="8">
        <f>TabelaSalarioBase[[#This Row],[Nº]]</f>
        <v>21</v>
      </c>
      <c r="B23" s="8">
        <f>TabelaSalarioBase[[#This Row],[Nome]]</f>
        <v>0</v>
      </c>
      <c r="C23" s="9">
        <f>TabelaSalarioBase[[#This Row],[Cargo]]</f>
        <v>0</v>
      </c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1">
        <f t="shared" si="0"/>
        <v>0</v>
      </c>
    </row>
    <row r="24" spans="1:16" s="1" customFormat="1" x14ac:dyDescent="0.25">
      <c r="A24" s="8">
        <f>TabelaSalarioBase[[#This Row],[Nº]]</f>
        <v>22</v>
      </c>
      <c r="B24" s="8">
        <f>TabelaSalarioBase[[#This Row],[Nome]]</f>
        <v>0</v>
      </c>
      <c r="C24" s="9">
        <f>TabelaSalarioBase[[#This Row],[Cargo]]</f>
        <v>0</v>
      </c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1">
        <f t="shared" si="0"/>
        <v>0</v>
      </c>
    </row>
    <row r="25" spans="1:16" s="1" customFormat="1" x14ac:dyDescent="0.25">
      <c r="A25" s="8">
        <f>TabelaSalarioBase[[#This Row],[Nº]]</f>
        <v>23</v>
      </c>
      <c r="B25" s="8">
        <f>TabelaSalarioBase[[#This Row],[Nome]]</f>
        <v>0</v>
      </c>
      <c r="C25" s="9">
        <f>TabelaSalarioBase[[#This Row],[Cargo]]</f>
        <v>0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1">
        <f t="shared" si="0"/>
        <v>0</v>
      </c>
    </row>
    <row r="26" spans="1:16" s="1" customFormat="1" x14ac:dyDescent="0.25">
      <c r="A26" s="8">
        <f>TabelaSalarioBase[[#This Row],[Nº]]</f>
        <v>24</v>
      </c>
      <c r="B26" s="8">
        <f>TabelaSalarioBase[[#This Row],[Nome]]</f>
        <v>0</v>
      </c>
      <c r="C26" s="9">
        <f>TabelaSalarioBase[[#This Row],[Cargo]]</f>
        <v>0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1">
        <f t="shared" si="0"/>
        <v>0</v>
      </c>
    </row>
    <row r="27" spans="1:16" s="1" customFormat="1" x14ac:dyDescent="0.25">
      <c r="A27" s="8">
        <f>TabelaSalarioBase[[#This Row],[Nº]]</f>
        <v>25</v>
      </c>
      <c r="B27" s="8">
        <f>TabelaSalarioBase[[#This Row],[Nome]]</f>
        <v>0</v>
      </c>
      <c r="C27" s="9">
        <f>TabelaSalarioBase[[#This Row],[Cargo]]</f>
        <v>0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1">
        <f t="shared" si="0"/>
        <v>0</v>
      </c>
    </row>
    <row r="28" spans="1:16" s="1" customFormat="1" x14ac:dyDescent="0.25">
      <c r="A28" s="8">
        <f>TabelaSalarioBase[[#This Row],[Nº]]</f>
        <v>26</v>
      </c>
      <c r="B28" s="8">
        <f>TabelaSalarioBase[[#This Row],[Nome]]</f>
        <v>0</v>
      </c>
      <c r="C28" s="9">
        <f>TabelaSalarioBase[[#This Row],[Cargo]]</f>
        <v>0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1">
        <f t="shared" si="0"/>
        <v>0</v>
      </c>
    </row>
    <row r="29" spans="1:16" s="1" customFormat="1" x14ac:dyDescent="0.25">
      <c r="A29" s="8">
        <f>TabelaSalarioBase[[#This Row],[Nº]]</f>
        <v>27</v>
      </c>
      <c r="B29" s="8">
        <f>TabelaSalarioBase[[#This Row],[Nome]]</f>
        <v>0</v>
      </c>
      <c r="C29" s="9">
        <f>TabelaSalarioBase[[#This Row],[Cargo]]</f>
        <v>0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1">
        <f t="shared" si="0"/>
        <v>0</v>
      </c>
    </row>
    <row r="30" spans="1:16" s="1" customFormat="1" x14ac:dyDescent="0.25">
      <c r="A30" s="8">
        <f>TabelaSalarioBase[[#This Row],[Nº]]</f>
        <v>28</v>
      </c>
      <c r="B30" s="8">
        <f>TabelaSalarioBase[[#This Row],[Nome]]</f>
        <v>0</v>
      </c>
      <c r="C30" s="9">
        <f>TabelaSalarioBase[[#This Row],[Cargo]]</f>
        <v>0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1">
        <f>SUM(D30:O30)</f>
        <v>0</v>
      </c>
    </row>
    <row r="31" spans="1:16" s="1" customFormat="1" x14ac:dyDescent="0.25">
      <c r="A31" s="8">
        <f>TabelaSalarioBase[[#This Row],[Nº]]</f>
        <v>29</v>
      </c>
      <c r="B31" s="8">
        <f>TabelaSalarioBase[[#This Row],[Nome]]</f>
        <v>0</v>
      </c>
      <c r="C31" s="9">
        <f>TabelaSalarioBase[[#This Row],[Cargo]]</f>
        <v>0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1">
        <f>SUM(D31:O31)</f>
        <v>0</v>
      </c>
    </row>
    <row r="32" spans="1:16" s="1" customFormat="1" x14ac:dyDescent="0.25">
      <c r="A32" s="8">
        <f>TabelaSalarioBase[[#This Row],[Nº]]</f>
        <v>30</v>
      </c>
      <c r="B32" s="18">
        <f>TabelaSalarioBase[[#This Row],[Nome]]</f>
        <v>0</v>
      </c>
      <c r="C32" s="19">
        <f>TabelaSalarioBase[[#This Row],[Cargo]]</f>
        <v>0</v>
      </c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1">
        <f>SUM(D32:O32)</f>
        <v>0</v>
      </c>
    </row>
    <row r="33" spans="1:16" ht="18" x14ac:dyDescent="0.25">
      <c r="A33" s="50" t="s">
        <v>12</v>
      </c>
      <c r="B33" s="51"/>
      <c r="C33" s="51"/>
      <c r="D33" s="44">
        <f>SUM(TabelaVT[Janeiro])</f>
        <v>0</v>
      </c>
      <c r="E33" s="44">
        <f>SUM(TabelaVT[Fevereiro])</f>
        <v>0</v>
      </c>
      <c r="F33" s="44">
        <f>SUM(TabelaVT[Março])</f>
        <v>0</v>
      </c>
      <c r="G33" s="44">
        <f>SUM(TabelaVT[Abril])</f>
        <v>0</v>
      </c>
      <c r="H33" s="44">
        <f>SUM(TabelaVT[Maio])</f>
        <v>0</v>
      </c>
      <c r="I33" s="44">
        <f>SUM(TabelaVT[Junho])</f>
        <v>0</v>
      </c>
      <c r="J33" s="44">
        <f>SUM(TabelaVT[Julho])</f>
        <v>0</v>
      </c>
      <c r="K33" s="44">
        <f>SUM(TabelaVT[Agosto])</f>
        <v>0</v>
      </c>
      <c r="L33" s="44">
        <f>SUM(TabelaVT[Setembro])</f>
        <v>0</v>
      </c>
      <c r="M33" s="44">
        <f>SUM(TabelaVT[Outubro])</f>
        <v>0</v>
      </c>
      <c r="N33" s="44">
        <f>SUM(TabelaVT[Novembro])</f>
        <v>0</v>
      </c>
      <c r="O33" s="44">
        <f>SUM(TabelaVT[Dezembro])</f>
        <v>0</v>
      </c>
      <c r="P33" s="22">
        <f>SUM(P3:P32)</f>
        <v>0</v>
      </c>
    </row>
  </sheetData>
  <mergeCells count="2">
    <mergeCell ref="A1:P1"/>
    <mergeCell ref="A33:C33"/>
  </mergeCells>
  <pageMargins left="0.25" right="0.25" top="0.75" bottom="0.75" header="0.3" footer="0.3"/>
  <pageSetup paperSize="9" scale="56" fitToHeight="0" orientation="landscape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ilha4">
    <pageSetUpPr fitToPage="1"/>
  </sheetPr>
  <dimension ref="A1:P33"/>
  <sheetViews>
    <sheetView zoomScale="80" zoomScaleNormal="80" workbookViewId="0">
      <selection activeCell="D33" sqref="D33"/>
    </sheetView>
  </sheetViews>
  <sheetFormatPr defaultRowHeight="12.75" x14ac:dyDescent="0.2"/>
  <cols>
    <col min="1" max="1" width="3.42578125" style="7" bestFit="1" customWidth="1"/>
    <col min="2" max="2" width="35.7109375" style="7" customWidth="1"/>
    <col min="3" max="3" width="30.7109375" style="7" customWidth="1"/>
    <col min="4" max="7" width="14.28515625" style="2" bestFit="1" customWidth="1"/>
    <col min="8" max="15" width="13" style="2" bestFit="1" customWidth="1"/>
    <col min="16" max="16" width="21.42578125" style="2" bestFit="1" customWidth="1"/>
    <col min="17" max="16384" width="9.140625" style="2"/>
  </cols>
  <sheetData>
    <row r="1" spans="1:16" s="1" customFormat="1" ht="50.1" customHeight="1" thickBot="1" x14ac:dyDescent="0.3">
      <c r="A1" s="47" t="s">
        <v>79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9"/>
    </row>
    <row r="2" spans="1:16" s="1" customFormat="1" x14ac:dyDescent="0.25">
      <c r="A2" s="5" t="s">
        <v>25</v>
      </c>
      <c r="B2" s="5" t="s">
        <v>0</v>
      </c>
      <c r="C2" s="6" t="s">
        <v>1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24</v>
      </c>
      <c r="I2" s="3" t="s">
        <v>20</v>
      </c>
      <c r="J2" s="3" t="s">
        <v>21</v>
      </c>
      <c r="K2" s="3" t="s">
        <v>22</v>
      </c>
      <c r="L2" s="3" t="s">
        <v>29</v>
      </c>
      <c r="M2" s="3" t="s">
        <v>23</v>
      </c>
      <c r="N2" s="3" t="s">
        <v>27</v>
      </c>
      <c r="O2" s="3" t="s">
        <v>28</v>
      </c>
      <c r="P2" s="4" t="s">
        <v>2</v>
      </c>
    </row>
    <row r="3" spans="1:16" s="1" customFormat="1" x14ac:dyDescent="0.25">
      <c r="A3" s="8">
        <f>TabelaSalarioBase[[#This Row],[Nº]]</f>
        <v>1</v>
      </c>
      <c r="B3" s="8">
        <f>TabelaSalarioBase[[#This Row],[Nome]]</f>
        <v>0</v>
      </c>
      <c r="C3" s="9">
        <f>TabelaSalarioBase[[#This Row],[Cargo]]</f>
        <v>0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>
        <f>SUM(D3:O3)</f>
        <v>0</v>
      </c>
    </row>
    <row r="4" spans="1:16" s="1" customFormat="1" x14ac:dyDescent="0.25">
      <c r="A4" s="8">
        <f>TabelaSalarioBase[[#This Row],[Nº]]</f>
        <v>2</v>
      </c>
      <c r="B4" s="8">
        <f>TabelaSalarioBase[[#This Row],[Nome]]</f>
        <v>0</v>
      </c>
      <c r="C4" s="9">
        <f>TabelaSalarioBase[[#This Row],[Cargo]]</f>
        <v>0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1">
        <f t="shared" ref="P4:P32" si="0">SUM(D4:O4)</f>
        <v>0</v>
      </c>
    </row>
    <row r="5" spans="1:16" s="1" customFormat="1" x14ac:dyDescent="0.25">
      <c r="A5" s="8">
        <f>TabelaSalarioBase[[#This Row],[Nº]]</f>
        <v>3</v>
      </c>
      <c r="B5" s="8">
        <f>TabelaSalarioBase[[#This Row],[Nome]]</f>
        <v>0</v>
      </c>
      <c r="C5" s="9">
        <f>TabelaSalarioBase[[#This Row],[Cargo]]</f>
        <v>0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1">
        <f t="shared" si="0"/>
        <v>0</v>
      </c>
    </row>
    <row r="6" spans="1:16" s="1" customFormat="1" x14ac:dyDescent="0.25">
      <c r="A6" s="8">
        <f>TabelaSalarioBase[[#This Row],[Nº]]</f>
        <v>4</v>
      </c>
      <c r="B6" s="8">
        <f>TabelaSalarioBase[[#This Row],[Nome]]</f>
        <v>0</v>
      </c>
      <c r="C6" s="9">
        <f>TabelaSalarioBase[[#This Row],[Cargo]]</f>
        <v>0</v>
      </c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1">
        <f t="shared" si="0"/>
        <v>0</v>
      </c>
    </row>
    <row r="7" spans="1:16" s="1" customFormat="1" x14ac:dyDescent="0.25">
      <c r="A7" s="8">
        <f>TabelaSalarioBase[[#This Row],[Nº]]</f>
        <v>5</v>
      </c>
      <c r="B7" s="8">
        <f>TabelaSalarioBase[[#This Row],[Nome]]</f>
        <v>0</v>
      </c>
      <c r="C7" s="9">
        <f>TabelaSalarioBase[[#This Row],[Cargo]]</f>
        <v>0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1">
        <f t="shared" si="0"/>
        <v>0</v>
      </c>
    </row>
    <row r="8" spans="1:16" s="1" customFormat="1" x14ac:dyDescent="0.25">
      <c r="A8" s="8">
        <f>TabelaSalarioBase[[#This Row],[Nº]]</f>
        <v>6</v>
      </c>
      <c r="B8" s="8">
        <f>TabelaSalarioBase[[#This Row],[Nome]]</f>
        <v>0</v>
      </c>
      <c r="C8" s="9">
        <f>TabelaSalarioBase[[#This Row],[Cargo]]</f>
        <v>0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1">
        <f t="shared" si="0"/>
        <v>0</v>
      </c>
    </row>
    <row r="9" spans="1:16" s="1" customFormat="1" x14ac:dyDescent="0.25">
      <c r="A9" s="8">
        <f>TabelaSalarioBase[[#This Row],[Nº]]</f>
        <v>7</v>
      </c>
      <c r="B9" s="8">
        <f>TabelaSalarioBase[[#This Row],[Nome]]</f>
        <v>0</v>
      </c>
      <c r="C9" s="9">
        <f>TabelaSalarioBase[[#This Row],[Cargo]]</f>
        <v>0</v>
      </c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1">
        <f t="shared" si="0"/>
        <v>0</v>
      </c>
    </row>
    <row r="10" spans="1:16" s="1" customFormat="1" x14ac:dyDescent="0.25">
      <c r="A10" s="8">
        <f>TabelaSalarioBase[[#This Row],[Nº]]</f>
        <v>8</v>
      </c>
      <c r="B10" s="8">
        <f>TabelaSalarioBase[[#This Row],[Nome]]</f>
        <v>0</v>
      </c>
      <c r="C10" s="9">
        <f>TabelaSalarioBase[[#This Row],[Cargo]]</f>
        <v>0</v>
      </c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1">
        <f t="shared" si="0"/>
        <v>0</v>
      </c>
    </row>
    <row r="11" spans="1:16" s="1" customFormat="1" x14ac:dyDescent="0.25">
      <c r="A11" s="8">
        <f>TabelaSalarioBase[[#This Row],[Nº]]</f>
        <v>9</v>
      </c>
      <c r="B11" s="8">
        <f>TabelaSalarioBase[[#This Row],[Nome]]</f>
        <v>0</v>
      </c>
      <c r="C11" s="9">
        <f>TabelaSalarioBase[[#This Row],[Cargo]]</f>
        <v>0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1">
        <f t="shared" si="0"/>
        <v>0</v>
      </c>
    </row>
    <row r="12" spans="1:16" s="1" customFormat="1" x14ac:dyDescent="0.25">
      <c r="A12" s="8">
        <f>TabelaSalarioBase[[#This Row],[Nº]]</f>
        <v>10</v>
      </c>
      <c r="B12" s="8">
        <f>TabelaSalarioBase[[#This Row],[Nome]]</f>
        <v>0</v>
      </c>
      <c r="C12" s="9">
        <f>TabelaSalarioBase[[#This Row],[Cargo]]</f>
        <v>0</v>
      </c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1">
        <f t="shared" si="0"/>
        <v>0</v>
      </c>
    </row>
    <row r="13" spans="1:16" s="1" customFormat="1" x14ac:dyDescent="0.25">
      <c r="A13" s="8">
        <f>TabelaSalarioBase[[#This Row],[Nº]]</f>
        <v>11</v>
      </c>
      <c r="B13" s="8">
        <f>TabelaSalarioBase[[#This Row],[Nome]]</f>
        <v>0</v>
      </c>
      <c r="C13" s="9">
        <f>TabelaSalarioBase[[#This Row],[Cargo]]</f>
        <v>0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1">
        <f t="shared" si="0"/>
        <v>0</v>
      </c>
    </row>
    <row r="14" spans="1:16" s="1" customFormat="1" x14ac:dyDescent="0.25">
      <c r="A14" s="8">
        <f>TabelaSalarioBase[[#This Row],[Nº]]</f>
        <v>12</v>
      </c>
      <c r="B14" s="8">
        <f>TabelaSalarioBase[[#This Row],[Nome]]</f>
        <v>0</v>
      </c>
      <c r="C14" s="9">
        <f>TabelaSalarioBase[[#This Row],[Cargo]]</f>
        <v>0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1">
        <f t="shared" si="0"/>
        <v>0</v>
      </c>
    </row>
    <row r="15" spans="1:16" s="1" customFormat="1" x14ac:dyDescent="0.25">
      <c r="A15" s="8">
        <f>TabelaSalarioBase[[#This Row],[Nº]]</f>
        <v>13</v>
      </c>
      <c r="B15" s="8">
        <f>TabelaSalarioBase[[#This Row],[Nome]]</f>
        <v>0</v>
      </c>
      <c r="C15" s="9">
        <f>TabelaSalarioBase[[#This Row],[Cargo]]</f>
        <v>0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1">
        <f t="shared" si="0"/>
        <v>0</v>
      </c>
    </row>
    <row r="16" spans="1:16" s="1" customFormat="1" x14ac:dyDescent="0.25">
      <c r="A16" s="8">
        <f>TabelaSalarioBase[[#This Row],[Nº]]</f>
        <v>14</v>
      </c>
      <c r="B16" s="8">
        <f>TabelaSalarioBase[[#This Row],[Nome]]</f>
        <v>0</v>
      </c>
      <c r="C16" s="9">
        <f>TabelaSalarioBase[[#This Row],[Cargo]]</f>
        <v>0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1">
        <f t="shared" si="0"/>
        <v>0</v>
      </c>
    </row>
    <row r="17" spans="1:16" s="1" customFormat="1" x14ac:dyDescent="0.25">
      <c r="A17" s="8">
        <f>TabelaSalarioBase[[#This Row],[Nº]]</f>
        <v>15</v>
      </c>
      <c r="B17" s="8">
        <f>TabelaSalarioBase[[#This Row],[Nome]]</f>
        <v>0</v>
      </c>
      <c r="C17" s="9">
        <f>TabelaSalarioBase[[#This Row],[Cargo]]</f>
        <v>0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1">
        <f>SUM(D17:O17)</f>
        <v>0</v>
      </c>
    </row>
    <row r="18" spans="1:16" s="1" customFormat="1" x14ac:dyDescent="0.25">
      <c r="A18" s="8">
        <f>TabelaSalarioBase[[#This Row],[Nº]]</f>
        <v>16</v>
      </c>
      <c r="B18" s="8">
        <f>TabelaSalarioBase[[#This Row],[Nome]]</f>
        <v>0</v>
      </c>
      <c r="C18" s="9">
        <f>TabelaSalarioBase[[#This Row],[Cargo]]</f>
        <v>0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1">
        <f t="shared" si="0"/>
        <v>0</v>
      </c>
    </row>
    <row r="19" spans="1:16" s="1" customFormat="1" x14ac:dyDescent="0.25">
      <c r="A19" s="8">
        <f>TabelaSalarioBase[[#This Row],[Nº]]</f>
        <v>17</v>
      </c>
      <c r="B19" s="8">
        <f>TabelaSalarioBase[[#This Row],[Nome]]</f>
        <v>0</v>
      </c>
      <c r="C19" s="9">
        <f>TabelaSalarioBase[[#This Row],[Cargo]]</f>
        <v>0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1">
        <f t="shared" si="0"/>
        <v>0</v>
      </c>
    </row>
    <row r="20" spans="1:16" s="1" customFormat="1" x14ac:dyDescent="0.25">
      <c r="A20" s="8">
        <f>TabelaSalarioBase[[#This Row],[Nº]]</f>
        <v>18</v>
      </c>
      <c r="B20" s="8">
        <f>TabelaSalarioBase[[#This Row],[Nome]]</f>
        <v>0</v>
      </c>
      <c r="C20" s="9">
        <f>TabelaSalarioBase[[#This Row],[Cargo]]</f>
        <v>0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1">
        <f t="shared" si="0"/>
        <v>0</v>
      </c>
    </row>
    <row r="21" spans="1:16" s="1" customFormat="1" x14ac:dyDescent="0.25">
      <c r="A21" s="8">
        <f>TabelaSalarioBase[[#This Row],[Nº]]</f>
        <v>19</v>
      </c>
      <c r="B21" s="8">
        <f>TabelaSalarioBase[[#This Row],[Nome]]</f>
        <v>0</v>
      </c>
      <c r="C21" s="9">
        <f>TabelaSalarioBase[[#This Row],[Cargo]]</f>
        <v>0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1">
        <f>SUM(D21:O21)</f>
        <v>0</v>
      </c>
    </row>
    <row r="22" spans="1:16" s="1" customFormat="1" x14ac:dyDescent="0.25">
      <c r="A22" s="8">
        <f>TabelaSalarioBase[[#This Row],[Nº]]</f>
        <v>20</v>
      </c>
      <c r="B22" s="8">
        <f>TabelaSalarioBase[[#This Row],[Nome]]</f>
        <v>0</v>
      </c>
      <c r="C22" s="9">
        <f>TabelaSalarioBase[[#This Row],[Cargo]]</f>
        <v>0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1">
        <f t="shared" si="0"/>
        <v>0</v>
      </c>
    </row>
    <row r="23" spans="1:16" s="1" customFormat="1" x14ac:dyDescent="0.25">
      <c r="A23" s="8">
        <f>TabelaSalarioBase[[#This Row],[Nº]]</f>
        <v>21</v>
      </c>
      <c r="B23" s="8">
        <f>TabelaSalarioBase[[#This Row],[Nome]]</f>
        <v>0</v>
      </c>
      <c r="C23" s="9">
        <f>TabelaSalarioBase[[#This Row],[Cargo]]</f>
        <v>0</v>
      </c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1">
        <f t="shared" si="0"/>
        <v>0</v>
      </c>
    </row>
    <row r="24" spans="1:16" s="1" customFormat="1" x14ac:dyDescent="0.25">
      <c r="A24" s="8">
        <f>TabelaSalarioBase[[#This Row],[Nº]]</f>
        <v>22</v>
      </c>
      <c r="B24" s="8">
        <f>TabelaSalarioBase[[#This Row],[Nome]]</f>
        <v>0</v>
      </c>
      <c r="C24" s="9">
        <f>TabelaSalarioBase[[#This Row],[Cargo]]</f>
        <v>0</v>
      </c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1">
        <f t="shared" si="0"/>
        <v>0</v>
      </c>
    </row>
    <row r="25" spans="1:16" s="1" customFormat="1" x14ac:dyDescent="0.25">
      <c r="A25" s="8">
        <f>TabelaSalarioBase[[#This Row],[Nº]]</f>
        <v>23</v>
      </c>
      <c r="B25" s="8">
        <f>TabelaSalarioBase[[#This Row],[Nome]]</f>
        <v>0</v>
      </c>
      <c r="C25" s="9">
        <f>TabelaSalarioBase[[#This Row],[Cargo]]</f>
        <v>0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1">
        <f t="shared" si="0"/>
        <v>0</v>
      </c>
    </row>
    <row r="26" spans="1:16" s="1" customFormat="1" x14ac:dyDescent="0.25">
      <c r="A26" s="8">
        <f>TabelaSalarioBase[[#This Row],[Nº]]</f>
        <v>24</v>
      </c>
      <c r="B26" s="8">
        <f>TabelaSalarioBase[[#This Row],[Nome]]</f>
        <v>0</v>
      </c>
      <c r="C26" s="9">
        <f>TabelaSalarioBase[[#This Row],[Cargo]]</f>
        <v>0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1">
        <f t="shared" si="0"/>
        <v>0</v>
      </c>
    </row>
    <row r="27" spans="1:16" s="1" customFormat="1" x14ac:dyDescent="0.25">
      <c r="A27" s="8">
        <f>TabelaSalarioBase[[#This Row],[Nº]]</f>
        <v>25</v>
      </c>
      <c r="B27" s="8">
        <f>TabelaSalarioBase[[#This Row],[Nome]]</f>
        <v>0</v>
      </c>
      <c r="C27" s="9">
        <f>TabelaSalarioBase[[#This Row],[Cargo]]</f>
        <v>0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1">
        <f t="shared" si="0"/>
        <v>0</v>
      </c>
    </row>
    <row r="28" spans="1:16" s="1" customFormat="1" x14ac:dyDescent="0.25">
      <c r="A28" s="8">
        <f>TabelaSalarioBase[[#This Row],[Nº]]</f>
        <v>26</v>
      </c>
      <c r="B28" s="8">
        <f>TabelaSalarioBase[[#This Row],[Nome]]</f>
        <v>0</v>
      </c>
      <c r="C28" s="9">
        <f>TabelaSalarioBase[[#This Row],[Cargo]]</f>
        <v>0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1">
        <f t="shared" si="0"/>
        <v>0</v>
      </c>
    </row>
    <row r="29" spans="1:16" s="1" customFormat="1" x14ac:dyDescent="0.25">
      <c r="A29" s="8">
        <f>TabelaSalarioBase[[#This Row],[Nº]]</f>
        <v>27</v>
      </c>
      <c r="B29" s="8">
        <f>TabelaSalarioBase[[#This Row],[Nome]]</f>
        <v>0</v>
      </c>
      <c r="C29" s="9">
        <f>TabelaSalarioBase[[#This Row],[Cargo]]</f>
        <v>0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1">
        <f t="shared" si="0"/>
        <v>0</v>
      </c>
    </row>
    <row r="30" spans="1:16" s="1" customFormat="1" x14ac:dyDescent="0.25">
      <c r="A30" s="8">
        <f>TabelaSalarioBase[[#This Row],[Nº]]</f>
        <v>28</v>
      </c>
      <c r="B30" s="8">
        <f>TabelaSalarioBase[[#This Row],[Nome]]</f>
        <v>0</v>
      </c>
      <c r="C30" s="9">
        <f>TabelaSalarioBase[[#This Row],[Cargo]]</f>
        <v>0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1">
        <f>SUM(D30:O30)</f>
        <v>0</v>
      </c>
    </row>
    <row r="31" spans="1:16" s="1" customFormat="1" x14ac:dyDescent="0.25">
      <c r="A31" s="8">
        <f>TabelaSalarioBase[[#This Row],[Nº]]</f>
        <v>29</v>
      </c>
      <c r="B31" s="8">
        <f>TabelaSalarioBase[[#This Row],[Nome]]</f>
        <v>0</v>
      </c>
      <c r="C31" s="9">
        <f>TabelaSalarioBase[[#This Row],[Cargo]]</f>
        <v>0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1">
        <f>SUM(D31:O31)</f>
        <v>0</v>
      </c>
    </row>
    <row r="32" spans="1:16" s="1" customFormat="1" x14ac:dyDescent="0.25">
      <c r="A32" s="8">
        <f>TabelaSalarioBase[[#This Row],[Nº]]</f>
        <v>30</v>
      </c>
      <c r="B32" s="8">
        <f>TabelaSalarioBase[[#This Row],[Nome]]</f>
        <v>0</v>
      </c>
      <c r="C32" s="9">
        <f>TabelaSalarioBase[[#This Row],[Cargo]]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4">
        <f t="shared" si="0"/>
        <v>0</v>
      </c>
    </row>
    <row r="33" spans="1:16" ht="18" x14ac:dyDescent="0.25">
      <c r="A33" s="50" t="s">
        <v>12</v>
      </c>
      <c r="B33" s="51"/>
      <c r="C33" s="51"/>
      <c r="D33" s="44">
        <f>SUM(TabelaIRPF[Janeiro])</f>
        <v>0</v>
      </c>
      <c r="E33" s="44">
        <f>SUM(TabelaIRPF[Fevereiro])</f>
        <v>0</v>
      </c>
      <c r="F33" s="44">
        <f>SUM(TabelaIRPF[Março])</f>
        <v>0</v>
      </c>
      <c r="G33" s="44">
        <f>SUM(TabelaIRPF[Abril])</f>
        <v>0</v>
      </c>
      <c r="H33" s="44">
        <f>SUM(TabelaIRPF[Maio])</f>
        <v>0</v>
      </c>
      <c r="I33" s="44">
        <f>SUM(TabelaIRPF[Junho])</f>
        <v>0</v>
      </c>
      <c r="J33" s="44">
        <f>SUM(TabelaIRPF[Julho])</f>
        <v>0</v>
      </c>
      <c r="K33" s="44">
        <f>SUM(TabelaIRPF[Agosto])</f>
        <v>0</v>
      </c>
      <c r="L33" s="44">
        <f>SUM(TabelaIRPF[Setembro])</f>
        <v>0</v>
      </c>
      <c r="M33" s="44">
        <f>SUM(TabelaIRPF[Outubro])</f>
        <v>0</v>
      </c>
      <c r="N33" s="44">
        <f>SUM(TabelaIRPF[Novembro])</f>
        <v>0</v>
      </c>
      <c r="O33" s="44">
        <f>SUM(TabelaIRPF[Dezembro])</f>
        <v>0</v>
      </c>
      <c r="P33" s="22">
        <f>SUM(P3:P32)</f>
        <v>0</v>
      </c>
    </row>
  </sheetData>
  <mergeCells count="2">
    <mergeCell ref="A1:P1"/>
    <mergeCell ref="A33:C33"/>
  </mergeCells>
  <pageMargins left="0.25" right="0.25" top="0.75" bottom="0.75" header="0.3" footer="0.3"/>
  <pageSetup paperSize="9" scale="56" fitToHeight="0" orientation="landscape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3">
    <pageSetUpPr fitToPage="1"/>
  </sheetPr>
  <dimension ref="A1:P33"/>
  <sheetViews>
    <sheetView zoomScale="80" zoomScaleNormal="80" workbookViewId="0">
      <selection activeCell="O33" sqref="O33"/>
    </sheetView>
  </sheetViews>
  <sheetFormatPr defaultRowHeight="12.75" x14ac:dyDescent="0.2"/>
  <cols>
    <col min="1" max="1" width="3.42578125" style="7" bestFit="1" customWidth="1"/>
    <col min="2" max="2" width="35.7109375" style="7" customWidth="1"/>
    <col min="3" max="3" width="30.7109375" style="7" customWidth="1"/>
    <col min="4" max="7" width="14.28515625" style="2" bestFit="1" customWidth="1"/>
    <col min="8" max="15" width="13" style="2" bestFit="1" customWidth="1"/>
    <col min="16" max="16" width="21.42578125" style="2" bestFit="1" customWidth="1"/>
    <col min="17" max="16384" width="9.140625" style="2"/>
  </cols>
  <sheetData>
    <row r="1" spans="1:16" s="1" customFormat="1" ht="50.1" customHeight="1" thickBot="1" x14ac:dyDescent="0.3">
      <c r="A1" s="47" t="s">
        <v>78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9"/>
    </row>
    <row r="2" spans="1:16" s="1" customFormat="1" x14ac:dyDescent="0.25">
      <c r="A2" s="5" t="s">
        <v>25</v>
      </c>
      <c r="B2" s="5" t="s">
        <v>0</v>
      </c>
      <c r="C2" s="6" t="s">
        <v>1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24</v>
      </c>
      <c r="I2" s="3" t="s">
        <v>20</v>
      </c>
      <c r="J2" s="3" t="s">
        <v>21</v>
      </c>
      <c r="K2" s="3" t="s">
        <v>22</v>
      </c>
      <c r="L2" s="3" t="s">
        <v>29</v>
      </c>
      <c r="M2" s="3" t="s">
        <v>23</v>
      </c>
      <c r="N2" s="3" t="s">
        <v>27</v>
      </c>
      <c r="O2" s="3" t="s">
        <v>28</v>
      </c>
      <c r="P2" s="4" t="s">
        <v>2</v>
      </c>
    </row>
    <row r="3" spans="1:16" s="1" customFormat="1" x14ac:dyDescent="0.25">
      <c r="A3" s="8">
        <f>TabelaSalarioBase[[#This Row],[Nº]]</f>
        <v>1</v>
      </c>
      <c r="B3" s="8">
        <f>TabelaSalarioBase[[#This Row],[Nome]]</f>
        <v>0</v>
      </c>
      <c r="C3" s="9">
        <f>TabelaSalarioBase[[#This Row],[Cargo]]</f>
        <v>0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>
        <f>SUM(D3:O3)</f>
        <v>0</v>
      </c>
    </row>
    <row r="4" spans="1:16" s="1" customFormat="1" x14ac:dyDescent="0.25">
      <c r="A4" s="8">
        <f>TabelaSalarioBase[[#This Row],[Nº]]</f>
        <v>2</v>
      </c>
      <c r="B4" s="8">
        <f>TabelaSalarioBase[[#This Row],[Nome]]</f>
        <v>0</v>
      </c>
      <c r="C4" s="9">
        <f>TabelaSalarioBase[[#This Row],[Cargo]]</f>
        <v>0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1">
        <f t="shared" ref="P4:P29" si="0">SUM(D4:O4)</f>
        <v>0</v>
      </c>
    </row>
    <row r="5" spans="1:16" s="1" customFormat="1" x14ac:dyDescent="0.25">
      <c r="A5" s="8">
        <f>TabelaSalarioBase[[#This Row],[Nº]]</f>
        <v>3</v>
      </c>
      <c r="B5" s="8">
        <f>TabelaSalarioBase[[#This Row],[Nome]]</f>
        <v>0</v>
      </c>
      <c r="C5" s="9">
        <f>TabelaSalarioBase[[#This Row],[Cargo]]</f>
        <v>0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1">
        <f t="shared" si="0"/>
        <v>0</v>
      </c>
    </row>
    <row r="6" spans="1:16" s="1" customFormat="1" x14ac:dyDescent="0.25">
      <c r="A6" s="8">
        <f>TabelaSalarioBase[[#This Row],[Nº]]</f>
        <v>4</v>
      </c>
      <c r="B6" s="8">
        <f>TabelaSalarioBase[[#This Row],[Nome]]</f>
        <v>0</v>
      </c>
      <c r="C6" s="9">
        <f>TabelaSalarioBase[[#This Row],[Cargo]]</f>
        <v>0</v>
      </c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1">
        <f t="shared" si="0"/>
        <v>0</v>
      </c>
    </row>
    <row r="7" spans="1:16" s="1" customFormat="1" x14ac:dyDescent="0.25">
      <c r="A7" s="8">
        <f>TabelaSalarioBase[[#This Row],[Nº]]</f>
        <v>5</v>
      </c>
      <c r="B7" s="8">
        <f>TabelaSalarioBase[[#This Row],[Nome]]</f>
        <v>0</v>
      </c>
      <c r="C7" s="9">
        <f>TabelaSalarioBase[[#This Row],[Cargo]]</f>
        <v>0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1">
        <f t="shared" si="0"/>
        <v>0</v>
      </c>
    </row>
    <row r="8" spans="1:16" s="1" customFormat="1" x14ac:dyDescent="0.25">
      <c r="A8" s="8">
        <f>TabelaSalarioBase[[#This Row],[Nº]]</f>
        <v>6</v>
      </c>
      <c r="B8" s="8">
        <f>TabelaSalarioBase[[#This Row],[Nome]]</f>
        <v>0</v>
      </c>
      <c r="C8" s="9">
        <f>TabelaSalarioBase[[#This Row],[Cargo]]</f>
        <v>0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1">
        <f t="shared" si="0"/>
        <v>0</v>
      </c>
    </row>
    <row r="9" spans="1:16" s="1" customFormat="1" x14ac:dyDescent="0.25">
      <c r="A9" s="8">
        <f>TabelaSalarioBase[[#This Row],[Nº]]</f>
        <v>7</v>
      </c>
      <c r="B9" s="8">
        <f>TabelaSalarioBase[[#This Row],[Nome]]</f>
        <v>0</v>
      </c>
      <c r="C9" s="9">
        <f>TabelaSalarioBase[[#This Row],[Cargo]]</f>
        <v>0</v>
      </c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1">
        <f t="shared" si="0"/>
        <v>0</v>
      </c>
    </row>
    <row r="10" spans="1:16" s="1" customFormat="1" x14ac:dyDescent="0.25">
      <c r="A10" s="8">
        <f>TabelaSalarioBase[[#This Row],[Nº]]</f>
        <v>8</v>
      </c>
      <c r="B10" s="8">
        <f>TabelaSalarioBase[[#This Row],[Nome]]</f>
        <v>0</v>
      </c>
      <c r="C10" s="9">
        <f>TabelaSalarioBase[[#This Row],[Cargo]]</f>
        <v>0</v>
      </c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1">
        <f t="shared" si="0"/>
        <v>0</v>
      </c>
    </row>
    <row r="11" spans="1:16" s="1" customFormat="1" x14ac:dyDescent="0.25">
      <c r="A11" s="8">
        <f>TabelaSalarioBase[[#This Row],[Nº]]</f>
        <v>9</v>
      </c>
      <c r="B11" s="8">
        <f>TabelaSalarioBase[[#This Row],[Nome]]</f>
        <v>0</v>
      </c>
      <c r="C11" s="9">
        <f>TabelaSalarioBase[[#This Row],[Cargo]]</f>
        <v>0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1">
        <f t="shared" si="0"/>
        <v>0</v>
      </c>
    </row>
    <row r="12" spans="1:16" s="1" customFormat="1" x14ac:dyDescent="0.25">
      <c r="A12" s="8">
        <f>TabelaSalarioBase[[#This Row],[Nº]]</f>
        <v>10</v>
      </c>
      <c r="B12" s="8">
        <f>TabelaSalarioBase[[#This Row],[Nome]]</f>
        <v>0</v>
      </c>
      <c r="C12" s="9">
        <f>TabelaSalarioBase[[#This Row],[Cargo]]</f>
        <v>0</v>
      </c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1">
        <f t="shared" si="0"/>
        <v>0</v>
      </c>
    </row>
    <row r="13" spans="1:16" s="1" customFormat="1" x14ac:dyDescent="0.25">
      <c r="A13" s="8">
        <f>TabelaSalarioBase[[#This Row],[Nº]]</f>
        <v>11</v>
      </c>
      <c r="B13" s="8">
        <f>TabelaSalarioBase[[#This Row],[Nome]]</f>
        <v>0</v>
      </c>
      <c r="C13" s="9">
        <f>TabelaSalarioBase[[#This Row],[Cargo]]</f>
        <v>0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1">
        <f t="shared" si="0"/>
        <v>0</v>
      </c>
    </row>
    <row r="14" spans="1:16" s="1" customFormat="1" x14ac:dyDescent="0.25">
      <c r="A14" s="8">
        <f>TabelaSalarioBase[[#This Row],[Nº]]</f>
        <v>12</v>
      </c>
      <c r="B14" s="8">
        <f>TabelaSalarioBase[[#This Row],[Nome]]</f>
        <v>0</v>
      </c>
      <c r="C14" s="9">
        <f>TabelaSalarioBase[[#This Row],[Cargo]]</f>
        <v>0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1">
        <f t="shared" si="0"/>
        <v>0</v>
      </c>
    </row>
    <row r="15" spans="1:16" s="1" customFormat="1" x14ac:dyDescent="0.25">
      <c r="A15" s="8">
        <f>TabelaSalarioBase[[#This Row],[Nº]]</f>
        <v>13</v>
      </c>
      <c r="B15" s="8">
        <f>TabelaSalarioBase[[#This Row],[Nome]]</f>
        <v>0</v>
      </c>
      <c r="C15" s="9">
        <f>TabelaSalarioBase[[#This Row],[Cargo]]</f>
        <v>0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1">
        <f t="shared" si="0"/>
        <v>0</v>
      </c>
    </row>
    <row r="16" spans="1:16" s="1" customFormat="1" x14ac:dyDescent="0.25">
      <c r="A16" s="8">
        <f>TabelaSalarioBase[[#This Row],[Nº]]</f>
        <v>14</v>
      </c>
      <c r="B16" s="8">
        <f>TabelaSalarioBase[[#This Row],[Nome]]</f>
        <v>0</v>
      </c>
      <c r="C16" s="9">
        <f>TabelaSalarioBase[[#This Row],[Cargo]]</f>
        <v>0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1">
        <f t="shared" si="0"/>
        <v>0</v>
      </c>
    </row>
    <row r="17" spans="1:16" s="1" customFormat="1" x14ac:dyDescent="0.25">
      <c r="A17" s="8">
        <f>TabelaSalarioBase[[#This Row],[Nº]]</f>
        <v>15</v>
      </c>
      <c r="B17" s="8">
        <f>TabelaSalarioBase[[#This Row],[Nome]]</f>
        <v>0</v>
      </c>
      <c r="C17" s="9">
        <f>TabelaSalarioBase[[#This Row],[Cargo]]</f>
        <v>0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1">
        <f>SUM(D17:O17)</f>
        <v>0</v>
      </c>
    </row>
    <row r="18" spans="1:16" s="1" customFormat="1" x14ac:dyDescent="0.25">
      <c r="A18" s="8">
        <f>TabelaSalarioBase[[#This Row],[Nº]]</f>
        <v>16</v>
      </c>
      <c r="B18" s="8">
        <f>TabelaSalarioBase[[#This Row],[Nome]]</f>
        <v>0</v>
      </c>
      <c r="C18" s="9">
        <f>TabelaSalarioBase[[#This Row],[Cargo]]</f>
        <v>0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1">
        <f t="shared" si="0"/>
        <v>0</v>
      </c>
    </row>
    <row r="19" spans="1:16" s="1" customFormat="1" x14ac:dyDescent="0.25">
      <c r="A19" s="8">
        <f>TabelaSalarioBase[[#This Row],[Nº]]</f>
        <v>17</v>
      </c>
      <c r="B19" s="8">
        <f>TabelaSalarioBase[[#This Row],[Nome]]</f>
        <v>0</v>
      </c>
      <c r="C19" s="9">
        <f>TabelaSalarioBase[[#This Row],[Cargo]]</f>
        <v>0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1">
        <f t="shared" si="0"/>
        <v>0</v>
      </c>
    </row>
    <row r="20" spans="1:16" s="1" customFormat="1" x14ac:dyDescent="0.25">
      <c r="A20" s="8">
        <f>TabelaSalarioBase[[#This Row],[Nº]]</f>
        <v>18</v>
      </c>
      <c r="B20" s="8">
        <f>TabelaSalarioBase[[#This Row],[Nome]]</f>
        <v>0</v>
      </c>
      <c r="C20" s="9">
        <f>TabelaSalarioBase[[#This Row],[Cargo]]</f>
        <v>0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1">
        <f t="shared" si="0"/>
        <v>0</v>
      </c>
    </row>
    <row r="21" spans="1:16" s="1" customFormat="1" x14ac:dyDescent="0.25">
      <c r="A21" s="8">
        <f>TabelaSalarioBase[[#This Row],[Nº]]</f>
        <v>19</v>
      </c>
      <c r="B21" s="8">
        <f>TabelaSalarioBase[[#This Row],[Nome]]</f>
        <v>0</v>
      </c>
      <c r="C21" s="9">
        <f>TabelaSalarioBase[[#This Row],[Cargo]]</f>
        <v>0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1">
        <f>SUM(D21:O21)</f>
        <v>0</v>
      </c>
    </row>
    <row r="22" spans="1:16" s="1" customFormat="1" x14ac:dyDescent="0.25">
      <c r="A22" s="8">
        <f>TabelaSalarioBase[[#This Row],[Nº]]</f>
        <v>20</v>
      </c>
      <c r="B22" s="8">
        <f>TabelaSalarioBase[[#This Row],[Nome]]</f>
        <v>0</v>
      </c>
      <c r="C22" s="9">
        <f>TabelaSalarioBase[[#This Row],[Cargo]]</f>
        <v>0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1">
        <f t="shared" si="0"/>
        <v>0</v>
      </c>
    </row>
    <row r="23" spans="1:16" s="1" customFormat="1" x14ac:dyDescent="0.25">
      <c r="A23" s="8">
        <f>TabelaSalarioBase[[#This Row],[Nº]]</f>
        <v>21</v>
      </c>
      <c r="B23" s="8">
        <f>TabelaSalarioBase[[#This Row],[Nome]]</f>
        <v>0</v>
      </c>
      <c r="C23" s="9">
        <f>TabelaSalarioBase[[#This Row],[Cargo]]</f>
        <v>0</v>
      </c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1">
        <f t="shared" si="0"/>
        <v>0</v>
      </c>
    </row>
    <row r="24" spans="1:16" s="1" customFormat="1" x14ac:dyDescent="0.25">
      <c r="A24" s="8">
        <f>TabelaSalarioBase[[#This Row],[Nº]]</f>
        <v>22</v>
      </c>
      <c r="B24" s="8">
        <f>TabelaSalarioBase[[#This Row],[Nome]]</f>
        <v>0</v>
      </c>
      <c r="C24" s="9">
        <f>TabelaSalarioBase[[#This Row],[Cargo]]</f>
        <v>0</v>
      </c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1">
        <f t="shared" si="0"/>
        <v>0</v>
      </c>
    </row>
    <row r="25" spans="1:16" s="1" customFormat="1" x14ac:dyDescent="0.25">
      <c r="A25" s="8">
        <f>TabelaSalarioBase[[#This Row],[Nº]]</f>
        <v>23</v>
      </c>
      <c r="B25" s="8">
        <f>TabelaSalarioBase[[#This Row],[Nome]]</f>
        <v>0</v>
      </c>
      <c r="C25" s="9">
        <f>TabelaSalarioBase[[#This Row],[Cargo]]</f>
        <v>0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1">
        <f t="shared" si="0"/>
        <v>0</v>
      </c>
    </row>
    <row r="26" spans="1:16" s="1" customFormat="1" x14ac:dyDescent="0.25">
      <c r="A26" s="8">
        <f>TabelaSalarioBase[[#This Row],[Nº]]</f>
        <v>24</v>
      </c>
      <c r="B26" s="8">
        <f>TabelaSalarioBase[[#This Row],[Nome]]</f>
        <v>0</v>
      </c>
      <c r="C26" s="9">
        <f>TabelaSalarioBase[[#This Row],[Cargo]]</f>
        <v>0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1">
        <f t="shared" si="0"/>
        <v>0</v>
      </c>
    </row>
    <row r="27" spans="1:16" s="1" customFormat="1" x14ac:dyDescent="0.25">
      <c r="A27" s="8">
        <f>TabelaSalarioBase[[#This Row],[Nº]]</f>
        <v>25</v>
      </c>
      <c r="B27" s="8">
        <f>TabelaSalarioBase[[#This Row],[Nome]]</f>
        <v>0</v>
      </c>
      <c r="C27" s="9">
        <f>TabelaSalarioBase[[#This Row],[Cargo]]</f>
        <v>0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1">
        <f t="shared" si="0"/>
        <v>0</v>
      </c>
    </row>
    <row r="28" spans="1:16" s="1" customFormat="1" x14ac:dyDescent="0.25">
      <c r="A28" s="8">
        <f>TabelaSalarioBase[[#This Row],[Nº]]</f>
        <v>26</v>
      </c>
      <c r="B28" s="8">
        <f>TabelaSalarioBase[[#This Row],[Nome]]</f>
        <v>0</v>
      </c>
      <c r="C28" s="9">
        <f>TabelaSalarioBase[[#This Row],[Cargo]]</f>
        <v>0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1">
        <f t="shared" si="0"/>
        <v>0</v>
      </c>
    </row>
    <row r="29" spans="1:16" s="1" customFormat="1" x14ac:dyDescent="0.25">
      <c r="A29" s="8">
        <f>TabelaSalarioBase[[#This Row],[Nº]]</f>
        <v>27</v>
      </c>
      <c r="B29" s="8">
        <f>TabelaSalarioBase[[#This Row],[Nome]]</f>
        <v>0</v>
      </c>
      <c r="C29" s="9">
        <f>TabelaSalarioBase[[#This Row],[Cargo]]</f>
        <v>0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1">
        <f t="shared" si="0"/>
        <v>0</v>
      </c>
    </row>
    <row r="30" spans="1:16" s="1" customFormat="1" x14ac:dyDescent="0.25">
      <c r="A30" s="8">
        <f>TabelaSalarioBase[[#This Row],[Nº]]</f>
        <v>28</v>
      </c>
      <c r="B30" s="8">
        <f>TabelaSalarioBase[[#This Row],[Nome]]</f>
        <v>0</v>
      </c>
      <c r="C30" s="9">
        <f>TabelaSalarioBase[[#This Row],[Cargo]]</f>
        <v>0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1">
        <f>SUM(D30:O30)</f>
        <v>0</v>
      </c>
    </row>
    <row r="31" spans="1:16" s="1" customFormat="1" x14ac:dyDescent="0.25">
      <c r="A31" s="8">
        <f>TabelaSalarioBase[[#This Row],[Nº]]</f>
        <v>29</v>
      </c>
      <c r="B31" s="8">
        <f>TabelaSalarioBase[[#This Row],[Nome]]</f>
        <v>0</v>
      </c>
      <c r="C31" s="9">
        <f>TabelaSalarioBase[[#This Row],[Cargo]]</f>
        <v>0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1">
        <f>SUM(D31:O31)</f>
        <v>0</v>
      </c>
    </row>
    <row r="32" spans="1:16" s="1" customFormat="1" x14ac:dyDescent="0.25">
      <c r="A32" s="8">
        <f>TabelaSalarioBase[[#This Row],[Nº]]</f>
        <v>30</v>
      </c>
      <c r="B32" s="18">
        <f>TabelaSalarioBase[[#This Row],[Nome]]</f>
        <v>0</v>
      </c>
      <c r="C32" s="19">
        <f>TabelaSalarioBase[[#This Row],[Cargo]]</f>
        <v>0</v>
      </c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1">
        <f>SUM(D32:O32)</f>
        <v>0</v>
      </c>
    </row>
    <row r="33" spans="1:16" ht="18" x14ac:dyDescent="0.25">
      <c r="A33" s="50" t="s">
        <v>12</v>
      </c>
      <c r="B33" s="51"/>
      <c r="C33" s="51"/>
      <c r="D33" s="44">
        <f>SUM(TabelaINSS[Janeiro])</f>
        <v>0</v>
      </c>
      <c r="E33" s="44">
        <f>SUM(TabelaINSS[Fevereiro])</f>
        <v>0</v>
      </c>
      <c r="F33" s="44">
        <f>SUM(TabelaINSS[Março])</f>
        <v>0</v>
      </c>
      <c r="G33" s="44">
        <f>SUM(TabelaINSS[Abril])</f>
        <v>0</v>
      </c>
      <c r="H33" s="44">
        <f>SUM(TabelaINSS[Maio])</f>
        <v>0</v>
      </c>
      <c r="I33" s="44">
        <f>SUM(TabelaINSS[Junho])</f>
        <v>0</v>
      </c>
      <c r="J33" s="44">
        <f>SUM(TabelaINSS[Julho])</f>
        <v>0</v>
      </c>
      <c r="K33" s="44">
        <f>SUM(TabelaINSS[Agosto])</f>
        <v>0</v>
      </c>
      <c r="L33" s="44">
        <f>SUM(TabelaINSS[Setembro])</f>
        <v>0</v>
      </c>
      <c r="M33" s="44">
        <f>SUM(TabelaINSS[Outubro])</f>
        <v>0</v>
      </c>
      <c r="N33" s="44">
        <f>SUM(TabelaINSS[Novembro])</f>
        <v>0</v>
      </c>
      <c r="O33" s="44">
        <f>SUM(TabelaINSS[Dezembro])</f>
        <v>0</v>
      </c>
      <c r="P33" s="22">
        <f>SUM(P3:P32)</f>
        <v>0</v>
      </c>
    </row>
  </sheetData>
  <mergeCells count="2">
    <mergeCell ref="A1:P1"/>
    <mergeCell ref="A33:C33"/>
  </mergeCells>
  <pageMargins left="0.25" right="0.25" top="0.75" bottom="0.75" header="0.3" footer="0.3"/>
  <pageSetup paperSize="9" scale="56" fitToHeight="0" orientation="landscape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ilha5">
    <pageSetUpPr fitToPage="1"/>
  </sheetPr>
  <dimension ref="A1:Q33"/>
  <sheetViews>
    <sheetView zoomScale="80" zoomScaleNormal="80" workbookViewId="0">
      <selection activeCell="P33" sqref="E33:P33"/>
    </sheetView>
  </sheetViews>
  <sheetFormatPr defaultRowHeight="12.75" x14ac:dyDescent="0.2"/>
  <cols>
    <col min="1" max="1" width="3.42578125" style="7" bestFit="1" customWidth="1"/>
    <col min="2" max="2" width="35.7109375" style="7" customWidth="1"/>
    <col min="3" max="3" width="30.7109375" style="7" customWidth="1"/>
    <col min="4" max="4" width="9.28515625" style="7" bestFit="1" customWidth="1"/>
    <col min="5" max="8" width="14.28515625" style="2" bestFit="1" customWidth="1"/>
    <col min="9" max="16" width="13" style="2" bestFit="1" customWidth="1"/>
    <col min="17" max="17" width="21.42578125" style="2" bestFit="1" customWidth="1"/>
    <col min="18" max="16384" width="9.140625" style="2"/>
  </cols>
  <sheetData>
    <row r="1" spans="1:17" s="1" customFormat="1" ht="50.1" customHeight="1" thickBot="1" x14ac:dyDescent="0.3">
      <c r="A1" s="47" t="s">
        <v>80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9"/>
    </row>
    <row r="2" spans="1:17" s="1" customFormat="1" x14ac:dyDescent="0.25">
      <c r="A2" s="5" t="s">
        <v>25</v>
      </c>
      <c r="B2" s="5" t="s">
        <v>0</v>
      </c>
      <c r="C2" s="6" t="s">
        <v>1</v>
      </c>
      <c r="D2" s="6" t="s">
        <v>5</v>
      </c>
      <c r="E2" s="3" t="s">
        <v>16</v>
      </c>
      <c r="F2" s="3" t="s">
        <v>17</v>
      </c>
      <c r="G2" s="3" t="s">
        <v>18</v>
      </c>
      <c r="H2" s="3" t="s">
        <v>19</v>
      </c>
      <c r="I2" s="3" t="s">
        <v>24</v>
      </c>
      <c r="J2" s="3" t="s">
        <v>20</v>
      </c>
      <c r="K2" s="3" t="s">
        <v>21</v>
      </c>
      <c r="L2" s="3" t="s">
        <v>22</v>
      </c>
      <c r="M2" s="3" t="s">
        <v>29</v>
      </c>
      <c r="N2" s="3" t="s">
        <v>23</v>
      </c>
      <c r="O2" s="3" t="s">
        <v>27</v>
      </c>
      <c r="P2" s="3" t="s">
        <v>28</v>
      </c>
      <c r="Q2" s="4" t="s">
        <v>2</v>
      </c>
    </row>
    <row r="3" spans="1:17" s="1" customFormat="1" x14ac:dyDescent="0.25">
      <c r="A3" s="8">
        <f>TabelaSalarioBase[[#This Row],[Nº]]</f>
        <v>1</v>
      </c>
      <c r="B3" s="8">
        <f>TabelaSalarioBase[[#This Row],[Nome]]</f>
        <v>0</v>
      </c>
      <c r="C3" s="9">
        <f>TabelaSalarioBase[[#This Row],[Cargo]]</f>
        <v>0</v>
      </c>
      <c r="D3" s="23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1">
        <f>SUM(E3:P3)</f>
        <v>0</v>
      </c>
    </row>
    <row r="4" spans="1:17" s="1" customFormat="1" x14ac:dyDescent="0.25">
      <c r="A4" s="8">
        <f>TabelaSalarioBase[[#This Row],[Nº]]</f>
        <v>2</v>
      </c>
      <c r="B4" s="8">
        <f>TabelaSalarioBase[[#This Row],[Nome]]</f>
        <v>0</v>
      </c>
      <c r="C4" s="9">
        <f>TabelaSalarioBase[[#This Row],[Cargo]]</f>
        <v>0</v>
      </c>
      <c r="D4" s="24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1">
        <f t="shared" ref="Q4:Q32" si="0">SUM(E4:P4)</f>
        <v>0</v>
      </c>
    </row>
    <row r="5" spans="1:17" s="1" customFormat="1" x14ac:dyDescent="0.25">
      <c r="A5" s="8">
        <f>TabelaSalarioBase[[#This Row],[Nº]]</f>
        <v>3</v>
      </c>
      <c r="B5" s="8">
        <f>TabelaSalarioBase[[#This Row],[Nome]]</f>
        <v>0</v>
      </c>
      <c r="C5" s="9">
        <f>TabelaSalarioBase[[#This Row],[Cargo]]</f>
        <v>0</v>
      </c>
      <c r="D5" s="24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1">
        <f t="shared" si="0"/>
        <v>0</v>
      </c>
    </row>
    <row r="6" spans="1:17" s="1" customFormat="1" x14ac:dyDescent="0.25">
      <c r="A6" s="8">
        <f>TabelaSalarioBase[[#This Row],[Nº]]</f>
        <v>4</v>
      </c>
      <c r="B6" s="8">
        <f>TabelaSalarioBase[[#This Row],[Nome]]</f>
        <v>0</v>
      </c>
      <c r="C6" s="9">
        <f>TabelaSalarioBase[[#This Row],[Cargo]]</f>
        <v>0</v>
      </c>
      <c r="D6" s="2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1">
        <f t="shared" si="0"/>
        <v>0</v>
      </c>
    </row>
    <row r="7" spans="1:17" s="1" customFormat="1" x14ac:dyDescent="0.25">
      <c r="A7" s="8">
        <f>TabelaSalarioBase[[#This Row],[Nº]]</f>
        <v>5</v>
      </c>
      <c r="B7" s="8">
        <f>TabelaSalarioBase[[#This Row],[Nome]]</f>
        <v>0</v>
      </c>
      <c r="C7" s="9">
        <f>TabelaSalarioBase[[#This Row],[Cargo]]</f>
        <v>0</v>
      </c>
      <c r="D7" s="24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1">
        <f t="shared" si="0"/>
        <v>0</v>
      </c>
    </row>
    <row r="8" spans="1:17" s="1" customFormat="1" x14ac:dyDescent="0.25">
      <c r="A8" s="8">
        <f>TabelaSalarioBase[[#This Row],[Nº]]</f>
        <v>6</v>
      </c>
      <c r="B8" s="8">
        <f>TabelaSalarioBase[[#This Row],[Nome]]</f>
        <v>0</v>
      </c>
      <c r="C8" s="9">
        <f>TabelaSalarioBase[[#This Row],[Cargo]]</f>
        <v>0</v>
      </c>
      <c r="D8" s="24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1">
        <f t="shared" si="0"/>
        <v>0</v>
      </c>
    </row>
    <row r="9" spans="1:17" s="1" customFormat="1" x14ac:dyDescent="0.25">
      <c r="A9" s="8">
        <f>TabelaSalarioBase[[#This Row],[Nº]]</f>
        <v>7</v>
      </c>
      <c r="B9" s="8">
        <f>TabelaSalarioBase[[#This Row],[Nome]]</f>
        <v>0</v>
      </c>
      <c r="C9" s="9">
        <f>TabelaSalarioBase[[#This Row],[Cargo]]</f>
        <v>0</v>
      </c>
      <c r="D9" s="24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1">
        <f t="shared" si="0"/>
        <v>0</v>
      </c>
    </row>
    <row r="10" spans="1:17" s="1" customFormat="1" x14ac:dyDescent="0.25">
      <c r="A10" s="8">
        <f>TabelaSalarioBase[[#This Row],[Nº]]</f>
        <v>8</v>
      </c>
      <c r="B10" s="8">
        <f>TabelaSalarioBase[[#This Row],[Nome]]</f>
        <v>0</v>
      </c>
      <c r="C10" s="9">
        <f>TabelaSalarioBase[[#This Row],[Cargo]]</f>
        <v>0</v>
      </c>
      <c r="D10" s="24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1">
        <f t="shared" si="0"/>
        <v>0</v>
      </c>
    </row>
    <row r="11" spans="1:17" s="1" customFormat="1" x14ac:dyDescent="0.25">
      <c r="A11" s="8">
        <f>TabelaSalarioBase[[#This Row],[Nº]]</f>
        <v>9</v>
      </c>
      <c r="B11" s="8">
        <f>TabelaSalarioBase[[#This Row],[Nome]]</f>
        <v>0</v>
      </c>
      <c r="C11" s="9">
        <f>TabelaSalarioBase[[#This Row],[Cargo]]</f>
        <v>0</v>
      </c>
      <c r="D11" s="24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1">
        <f t="shared" si="0"/>
        <v>0</v>
      </c>
    </row>
    <row r="12" spans="1:17" s="1" customFormat="1" x14ac:dyDescent="0.25">
      <c r="A12" s="8">
        <f>TabelaSalarioBase[[#This Row],[Nº]]</f>
        <v>10</v>
      </c>
      <c r="B12" s="8">
        <f>TabelaSalarioBase[[#This Row],[Nome]]</f>
        <v>0</v>
      </c>
      <c r="C12" s="9">
        <f>TabelaSalarioBase[[#This Row],[Cargo]]</f>
        <v>0</v>
      </c>
      <c r="D12" s="24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1">
        <f t="shared" si="0"/>
        <v>0</v>
      </c>
    </row>
    <row r="13" spans="1:17" s="1" customFormat="1" x14ac:dyDescent="0.25">
      <c r="A13" s="8">
        <f>TabelaSalarioBase[[#This Row],[Nº]]</f>
        <v>11</v>
      </c>
      <c r="B13" s="8">
        <f>TabelaSalarioBase[[#This Row],[Nome]]</f>
        <v>0</v>
      </c>
      <c r="C13" s="9">
        <f>TabelaSalarioBase[[#This Row],[Cargo]]</f>
        <v>0</v>
      </c>
      <c r="D13" s="24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1">
        <f t="shared" si="0"/>
        <v>0</v>
      </c>
    </row>
    <row r="14" spans="1:17" s="1" customFormat="1" x14ac:dyDescent="0.25">
      <c r="A14" s="8">
        <f>TabelaSalarioBase[[#This Row],[Nº]]</f>
        <v>12</v>
      </c>
      <c r="B14" s="8">
        <f>TabelaSalarioBase[[#This Row],[Nome]]</f>
        <v>0</v>
      </c>
      <c r="C14" s="9">
        <f>TabelaSalarioBase[[#This Row],[Cargo]]</f>
        <v>0</v>
      </c>
      <c r="D14" s="24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1">
        <f t="shared" si="0"/>
        <v>0</v>
      </c>
    </row>
    <row r="15" spans="1:17" s="1" customFormat="1" x14ac:dyDescent="0.25">
      <c r="A15" s="8">
        <f>TabelaSalarioBase[[#This Row],[Nº]]</f>
        <v>13</v>
      </c>
      <c r="B15" s="8">
        <f>TabelaSalarioBase[[#This Row],[Nome]]</f>
        <v>0</v>
      </c>
      <c r="C15" s="9">
        <f>TabelaSalarioBase[[#This Row],[Cargo]]</f>
        <v>0</v>
      </c>
      <c r="D15" s="24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1">
        <f t="shared" si="0"/>
        <v>0</v>
      </c>
    </row>
    <row r="16" spans="1:17" s="1" customFormat="1" x14ac:dyDescent="0.25">
      <c r="A16" s="8">
        <f>TabelaSalarioBase[[#This Row],[Nº]]</f>
        <v>14</v>
      </c>
      <c r="B16" s="8">
        <f>TabelaSalarioBase[[#This Row],[Nome]]</f>
        <v>0</v>
      </c>
      <c r="C16" s="9">
        <f>TabelaSalarioBase[[#This Row],[Cargo]]</f>
        <v>0</v>
      </c>
      <c r="D16" s="23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1">
        <f t="shared" si="0"/>
        <v>0</v>
      </c>
    </row>
    <row r="17" spans="1:17" s="1" customFormat="1" x14ac:dyDescent="0.25">
      <c r="A17" s="8">
        <f>TabelaSalarioBase[[#This Row],[Nº]]</f>
        <v>15</v>
      </c>
      <c r="B17" s="8">
        <f>TabelaSalarioBase[[#This Row],[Nome]]</f>
        <v>0</v>
      </c>
      <c r="C17" s="9">
        <f>TabelaSalarioBase[[#This Row],[Cargo]]</f>
        <v>0</v>
      </c>
      <c r="D17" s="24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1">
        <f>SUM(E17:P17)</f>
        <v>0</v>
      </c>
    </row>
    <row r="18" spans="1:17" s="1" customFormat="1" x14ac:dyDescent="0.25">
      <c r="A18" s="8">
        <f>TabelaSalarioBase[[#This Row],[Nº]]</f>
        <v>16</v>
      </c>
      <c r="B18" s="8">
        <f>TabelaSalarioBase[[#This Row],[Nome]]</f>
        <v>0</v>
      </c>
      <c r="C18" s="9">
        <f>TabelaSalarioBase[[#This Row],[Cargo]]</f>
        <v>0</v>
      </c>
      <c r="D18" s="24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1">
        <f t="shared" si="0"/>
        <v>0</v>
      </c>
    </row>
    <row r="19" spans="1:17" s="1" customFormat="1" x14ac:dyDescent="0.25">
      <c r="A19" s="8">
        <f>TabelaSalarioBase[[#This Row],[Nº]]</f>
        <v>17</v>
      </c>
      <c r="B19" s="8">
        <f>TabelaSalarioBase[[#This Row],[Nome]]</f>
        <v>0</v>
      </c>
      <c r="C19" s="9">
        <f>TabelaSalarioBase[[#This Row],[Cargo]]</f>
        <v>0</v>
      </c>
      <c r="D19" s="24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1">
        <f t="shared" si="0"/>
        <v>0</v>
      </c>
    </row>
    <row r="20" spans="1:17" s="1" customFormat="1" x14ac:dyDescent="0.25">
      <c r="A20" s="8">
        <f>TabelaSalarioBase[[#This Row],[Nº]]</f>
        <v>18</v>
      </c>
      <c r="B20" s="8">
        <f>TabelaSalarioBase[[#This Row],[Nome]]</f>
        <v>0</v>
      </c>
      <c r="C20" s="9">
        <f>TabelaSalarioBase[[#This Row],[Cargo]]</f>
        <v>0</v>
      </c>
      <c r="D20" s="24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1">
        <f t="shared" si="0"/>
        <v>0</v>
      </c>
    </row>
    <row r="21" spans="1:17" s="1" customFormat="1" x14ac:dyDescent="0.25">
      <c r="A21" s="8">
        <f>TabelaSalarioBase[[#This Row],[Nº]]</f>
        <v>19</v>
      </c>
      <c r="B21" s="8">
        <f>TabelaSalarioBase[[#This Row],[Nome]]</f>
        <v>0</v>
      </c>
      <c r="C21" s="9">
        <f>TabelaSalarioBase[[#This Row],[Cargo]]</f>
        <v>0</v>
      </c>
      <c r="D21" s="24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1">
        <f>SUM(E21:P21)</f>
        <v>0</v>
      </c>
    </row>
    <row r="22" spans="1:17" s="1" customFormat="1" x14ac:dyDescent="0.25">
      <c r="A22" s="8">
        <f>TabelaSalarioBase[[#This Row],[Nº]]</f>
        <v>20</v>
      </c>
      <c r="B22" s="8">
        <f>TabelaSalarioBase[[#This Row],[Nome]]</f>
        <v>0</v>
      </c>
      <c r="C22" s="9">
        <f>TabelaSalarioBase[[#This Row],[Cargo]]</f>
        <v>0</v>
      </c>
      <c r="D22" s="24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1">
        <f t="shared" si="0"/>
        <v>0</v>
      </c>
    </row>
    <row r="23" spans="1:17" s="1" customFormat="1" x14ac:dyDescent="0.25">
      <c r="A23" s="8">
        <f>TabelaSalarioBase[[#This Row],[Nº]]</f>
        <v>21</v>
      </c>
      <c r="B23" s="8">
        <f>TabelaSalarioBase[[#This Row],[Nome]]</f>
        <v>0</v>
      </c>
      <c r="C23" s="9">
        <f>TabelaSalarioBase[[#This Row],[Cargo]]</f>
        <v>0</v>
      </c>
      <c r="D23" s="24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1">
        <f t="shared" si="0"/>
        <v>0</v>
      </c>
    </row>
    <row r="24" spans="1:17" s="1" customFormat="1" x14ac:dyDescent="0.25">
      <c r="A24" s="8">
        <f>TabelaSalarioBase[[#This Row],[Nº]]</f>
        <v>22</v>
      </c>
      <c r="B24" s="8">
        <f>TabelaSalarioBase[[#This Row],[Nome]]</f>
        <v>0</v>
      </c>
      <c r="C24" s="9">
        <f>TabelaSalarioBase[[#This Row],[Cargo]]</f>
        <v>0</v>
      </c>
      <c r="D24" s="24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1">
        <f t="shared" si="0"/>
        <v>0</v>
      </c>
    </row>
    <row r="25" spans="1:17" s="1" customFormat="1" x14ac:dyDescent="0.25">
      <c r="A25" s="8">
        <f>TabelaSalarioBase[[#This Row],[Nº]]</f>
        <v>23</v>
      </c>
      <c r="B25" s="8">
        <f>TabelaSalarioBase[[#This Row],[Nome]]</f>
        <v>0</v>
      </c>
      <c r="C25" s="9">
        <f>TabelaSalarioBase[[#This Row],[Cargo]]</f>
        <v>0</v>
      </c>
      <c r="D25" s="24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1">
        <f t="shared" si="0"/>
        <v>0</v>
      </c>
    </row>
    <row r="26" spans="1:17" s="1" customFormat="1" x14ac:dyDescent="0.25">
      <c r="A26" s="8">
        <f>TabelaSalarioBase[[#This Row],[Nº]]</f>
        <v>24</v>
      </c>
      <c r="B26" s="8">
        <f>TabelaSalarioBase[[#This Row],[Nome]]</f>
        <v>0</v>
      </c>
      <c r="C26" s="9">
        <f>TabelaSalarioBase[[#This Row],[Cargo]]</f>
        <v>0</v>
      </c>
      <c r="D26" s="24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1">
        <f t="shared" si="0"/>
        <v>0</v>
      </c>
    </row>
    <row r="27" spans="1:17" s="1" customFormat="1" x14ac:dyDescent="0.25">
      <c r="A27" s="8">
        <f>TabelaSalarioBase[[#This Row],[Nº]]</f>
        <v>25</v>
      </c>
      <c r="B27" s="8">
        <f>TabelaSalarioBase[[#This Row],[Nome]]</f>
        <v>0</v>
      </c>
      <c r="C27" s="9">
        <f>TabelaSalarioBase[[#This Row],[Cargo]]</f>
        <v>0</v>
      </c>
      <c r="D27" s="24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1">
        <f t="shared" si="0"/>
        <v>0</v>
      </c>
    </row>
    <row r="28" spans="1:17" s="1" customFormat="1" x14ac:dyDescent="0.25">
      <c r="A28" s="8">
        <f>TabelaSalarioBase[[#This Row],[Nº]]</f>
        <v>26</v>
      </c>
      <c r="B28" s="8">
        <f>TabelaSalarioBase[[#This Row],[Nome]]</f>
        <v>0</v>
      </c>
      <c r="C28" s="9">
        <f>TabelaSalarioBase[[#This Row],[Cargo]]</f>
        <v>0</v>
      </c>
      <c r="D28" s="24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1">
        <f t="shared" si="0"/>
        <v>0</v>
      </c>
    </row>
    <row r="29" spans="1:17" s="1" customFormat="1" x14ac:dyDescent="0.25">
      <c r="A29" s="8">
        <f>TabelaSalarioBase[[#This Row],[Nº]]</f>
        <v>27</v>
      </c>
      <c r="B29" s="8">
        <f>TabelaSalarioBase[[#This Row],[Nome]]</f>
        <v>0</v>
      </c>
      <c r="C29" s="9">
        <f>TabelaSalarioBase[[#This Row],[Cargo]]</f>
        <v>0</v>
      </c>
      <c r="D29" s="23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1">
        <f t="shared" si="0"/>
        <v>0</v>
      </c>
    </row>
    <row r="30" spans="1:17" s="1" customFormat="1" x14ac:dyDescent="0.25">
      <c r="A30" s="8">
        <f>TabelaSalarioBase[[#This Row],[Nº]]</f>
        <v>28</v>
      </c>
      <c r="B30" s="8">
        <f>TabelaSalarioBase[[#This Row],[Nome]]</f>
        <v>0</v>
      </c>
      <c r="C30" s="9">
        <f>TabelaSalarioBase[[#This Row],[Cargo]]</f>
        <v>0</v>
      </c>
      <c r="D30" s="24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1">
        <f>SUM(E30:P30)</f>
        <v>0</v>
      </c>
    </row>
    <row r="31" spans="1:17" s="1" customFormat="1" x14ac:dyDescent="0.25">
      <c r="A31" s="8">
        <f>TabelaSalarioBase[[#This Row],[Nº]]</f>
        <v>29</v>
      </c>
      <c r="B31" s="8">
        <f>TabelaSalarioBase[[#This Row],[Nome]]</f>
        <v>0</v>
      </c>
      <c r="C31" s="9">
        <f>TabelaSalarioBase[[#This Row],[Cargo]]</f>
        <v>0</v>
      </c>
      <c r="D31" s="24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1">
        <f>SUM(E31:P31)</f>
        <v>0</v>
      </c>
    </row>
    <row r="32" spans="1:17" s="1" customFormat="1" x14ac:dyDescent="0.25">
      <c r="A32" s="8">
        <f>TabelaSalarioBase[[#This Row],[Nº]]</f>
        <v>30</v>
      </c>
      <c r="B32" s="8">
        <f>TabelaSalarioBase[[#This Row],[Nome]]</f>
        <v>0</v>
      </c>
      <c r="C32" s="9">
        <f>TabelaSalarioBase[[#This Row],[Cargo]]</f>
        <v>0</v>
      </c>
      <c r="D32" s="24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4">
        <f t="shared" si="0"/>
        <v>0</v>
      </c>
    </row>
    <row r="33" spans="1:17" ht="18" x14ac:dyDescent="0.25">
      <c r="A33" s="50" t="s">
        <v>12</v>
      </c>
      <c r="B33" s="51"/>
      <c r="C33" s="51"/>
      <c r="D33" s="51"/>
      <c r="E33" s="44">
        <f>SUM(TabelaFGTS[Janeiro])</f>
        <v>0</v>
      </c>
      <c r="F33" s="44">
        <f>SUM(TabelaFGTS[Fevereiro])</f>
        <v>0</v>
      </c>
      <c r="G33" s="44">
        <f>SUM(TabelaFGTS[Março])</f>
        <v>0</v>
      </c>
      <c r="H33" s="44">
        <f>SUM(TabelaFGTS[Abril])</f>
        <v>0</v>
      </c>
      <c r="I33" s="44">
        <f>SUM(TabelaFGTS[Maio])</f>
        <v>0</v>
      </c>
      <c r="J33" s="44">
        <f>SUM(TabelaFGTS[Junho])</f>
        <v>0</v>
      </c>
      <c r="K33" s="44">
        <f>SUM(TabelaFGTS[Julho])</f>
        <v>0</v>
      </c>
      <c r="L33" s="44">
        <f>SUM(TabelaFGTS[Agosto])</f>
        <v>0</v>
      </c>
      <c r="M33" s="44">
        <f>SUM(TabelaFGTS[Setembro])</f>
        <v>0</v>
      </c>
      <c r="N33" s="44">
        <f>SUM(TabelaFGTS[Outubro])</f>
        <v>0</v>
      </c>
      <c r="O33" s="44">
        <f>SUM(TabelaFGTS[Novembro])</f>
        <v>0</v>
      </c>
      <c r="P33" s="44">
        <f>SUM(TabelaFGTS[Dezembro])</f>
        <v>0</v>
      </c>
      <c r="Q33" s="22">
        <f>SUM(Q3:Q32)</f>
        <v>0</v>
      </c>
    </row>
  </sheetData>
  <mergeCells count="2">
    <mergeCell ref="A1:Q1"/>
    <mergeCell ref="A33:D33"/>
  </mergeCells>
  <pageMargins left="0.25" right="0.25" top="0.75" bottom="0.75" header="0.3" footer="0.3"/>
  <pageSetup paperSize="9" scale="54" fitToHeight="0" orientation="landscape" verticalDpi="0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Planilha6">
    <pageSetUpPr fitToPage="1"/>
  </sheetPr>
  <dimension ref="A1:Q33"/>
  <sheetViews>
    <sheetView zoomScale="80" zoomScaleNormal="80" workbookViewId="0">
      <selection activeCell="E33" sqref="E33:P33"/>
    </sheetView>
  </sheetViews>
  <sheetFormatPr defaultRowHeight="12.75" x14ac:dyDescent="0.2"/>
  <cols>
    <col min="1" max="1" width="3.42578125" style="7" bestFit="1" customWidth="1"/>
    <col min="2" max="2" width="35.7109375" style="7" customWidth="1"/>
    <col min="3" max="3" width="30.7109375" style="7" customWidth="1"/>
    <col min="4" max="4" width="9.28515625" style="7" bestFit="1" customWidth="1"/>
    <col min="5" max="8" width="14.28515625" style="2" bestFit="1" customWidth="1"/>
    <col min="9" max="16" width="13" style="2" bestFit="1" customWidth="1"/>
    <col min="17" max="17" width="21.42578125" style="2" bestFit="1" customWidth="1"/>
    <col min="18" max="16384" width="9.140625" style="2"/>
  </cols>
  <sheetData>
    <row r="1" spans="1:17" s="1" customFormat="1" ht="50.1" customHeight="1" thickBot="1" x14ac:dyDescent="0.3">
      <c r="A1" s="47" t="s">
        <v>81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9"/>
    </row>
    <row r="2" spans="1:17" s="1" customFormat="1" x14ac:dyDescent="0.25">
      <c r="A2" s="5" t="s">
        <v>25</v>
      </c>
      <c r="B2" s="5" t="s">
        <v>0</v>
      </c>
      <c r="C2" s="6" t="s">
        <v>1</v>
      </c>
      <c r="D2" s="6" t="s">
        <v>5</v>
      </c>
      <c r="E2" s="3" t="s">
        <v>16</v>
      </c>
      <c r="F2" s="3" t="s">
        <v>17</v>
      </c>
      <c r="G2" s="3" t="s">
        <v>18</v>
      </c>
      <c r="H2" s="3" t="s">
        <v>19</v>
      </c>
      <c r="I2" s="3" t="s">
        <v>24</v>
      </c>
      <c r="J2" s="3" t="s">
        <v>20</v>
      </c>
      <c r="K2" s="3" t="s">
        <v>21</v>
      </c>
      <c r="L2" s="3" t="s">
        <v>22</v>
      </c>
      <c r="M2" s="3" t="s">
        <v>29</v>
      </c>
      <c r="N2" s="3" t="s">
        <v>23</v>
      </c>
      <c r="O2" s="3" t="s">
        <v>27</v>
      </c>
      <c r="P2" s="3" t="s">
        <v>28</v>
      </c>
      <c r="Q2" s="4" t="s">
        <v>2</v>
      </c>
    </row>
    <row r="3" spans="1:17" s="1" customFormat="1" x14ac:dyDescent="0.25">
      <c r="A3" s="8">
        <f>TabelaSalarioBase[[#This Row],[Nº]]</f>
        <v>1</v>
      </c>
      <c r="B3" s="8">
        <f>TabelaSalarioBase[[#This Row],[Nome]]</f>
        <v>0</v>
      </c>
      <c r="C3" s="9">
        <f>TabelaSalarioBase[[#This Row],[Cargo]]</f>
        <v>0</v>
      </c>
      <c r="D3" s="23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1">
        <f>SUM(E3:P3)</f>
        <v>0</v>
      </c>
    </row>
    <row r="4" spans="1:17" s="1" customFormat="1" x14ac:dyDescent="0.25">
      <c r="A4" s="8">
        <f>TabelaSalarioBase[[#This Row],[Nº]]</f>
        <v>2</v>
      </c>
      <c r="B4" s="8">
        <f>TabelaSalarioBase[[#This Row],[Nome]]</f>
        <v>0</v>
      </c>
      <c r="C4" s="9">
        <f>TabelaSalarioBase[[#This Row],[Cargo]]</f>
        <v>0</v>
      </c>
      <c r="D4" s="24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1">
        <f t="shared" ref="Q4:Q32" si="0">SUM(E4:P4)</f>
        <v>0</v>
      </c>
    </row>
    <row r="5" spans="1:17" s="1" customFormat="1" x14ac:dyDescent="0.25">
      <c r="A5" s="8">
        <f>TabelaSalarioBase[[#This Row],[Nº]]</f>
        <v>3</v>
      </c>
      <c r="B5" s="8">
        <f>TabelaSalarioBase[[#This Row],[Nome]]</f>
        <v>0</v>
      </c>
      <c r="C5" s="9">
        <f>TabelaSalarioBase[[#This Row],[Cargo]]</f>
        <v>0</v>
      </c>
      <c r="D5" s="24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1">
        <f t="shared" si="0"/>
        <v>0</v>
      </c>
    </row>
    <row r="6" spans="1:17" s="1" customFormat="1" x14ac:dyDescent="0.25">
      <c r="A6" s="8">
        <f>TabelaSalarioBase[[#This Row],[Nº]]</f>
        <v>4</v>
      </c>
      <c r="B6" s="8">
        <f>TabelaSalarioBase[[#This Row],[Nome]]</f>
        <v>0</v>
      </c>
      <c r="C6" s="9">
        <f>TabelaSalarioBase[[#This Row],[Cargo]]</f>
        <v>0</v>
      </c>
      <c r="D6" s="2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1">
        <f t="shared" si="0"/>
        <v>0</v>
      </c>
    </row>
    <row r="7" spans="1:17" s="1" customFormat="1" x14ac:dyDescent="0.25">
      <c r="A7" s="8">
        <f>TabelaSalarioBase[[#This Row],[Nº]]</f>
        <v>5</v>
      </c>
      <c r="B7" s="8">
        <f>TabelaSalarioBase[[#This Row],[Nome]]</f>
        <v>0</v>
      </c>
      <c r="C7" s="9">
        <f>TabelaSalarioBase[[#This Row],[Cargo]]</f>
        <v>0</v>
      </c>
      <c r="D7" s="24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1">
        <f t="shared" si="0"/>
        <v>0</v>
      </c>
    </row>
    <row r="8" spans="1:17" s="1" customFormat="1" x14ac:dyDescent="0.25">
      <c r="A8" s="8">
        <f>TabelaSalarioBase[[#This Row],[Nº]]</f>
        <v>6</v>
      </c>
      <c r="B8" s="8">
        <f>TabelaSalarioBase[[#This Row],[Nome]]</f>
        <v>0</v>
      </c>
      <c r="C8" s="9">
        <f>TabelaSalarioBase[[#This Row],[Cargo]]</f>
        <v>0</v>
      </c>
      <c r="D8" s="24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1">
        <f t="shared" si="0"/>
        <v>0</v>
      </c>
    </row>
    <row r="9" spans="1:17" s="1" customFormat="1" x14ac:dyDescent="0.25">
      <c r="A9" s="8">
        <f>TabelaSalarioBase[[#This Row],[Nº]]</f>
        <v>7</v>
      </c>
      <c r="B9" s="8">
        <f>TabelaSalarioBase[[#This Row],[Nome]]</f>
        <v>0</v>
      </c>
      <c r="C9" s="9">
        <f>TabelaSalarioBase[[#This Row],[Cargo]]</f>
        <v>0</v>
      </c>
      <c r="D9" s="24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1">
        <f t="shared" si="0"/>
        <v>0</v>
      </c>
    </row>
    <row r="10" spans="1:17" s="1" customFormat="1" x14ac:dyDescent="0.25">
      <c r="A10" s="8">
        <f>TabelaSalarioBase[[#This Row],[Nº]]</f>
        <v>8</v>
      </c>
      <c r="B10" s="8">
        <f>TabelaSalarioBase[[#This Row],[Nome]]</f>
        <v>0</v>
      </c>
      <c r="C10" s="9">
        <f>TabelaSalarioBase[[#This Row],[Cargo]]</f>
        <v>0</v>
      </c>
      <c r="D10" s="24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1">
        <f t="shared" si="0"/>
        <v>0</v>
      </c>
    </row>
    <row r="11" spans="1:17" s="1" customFormat="1" x14ac:dyDescent="0.25">
      <c r="A11" s="8">
        <f>TabelaSalarioBase[[#This Row],[Nº]]</f>
        <v>9</v>
      </c>
      <c r="B11" s="8">
        <f>TabelaSalarioBase[[#This Row],[Nome]]</f>
        <v>0</v>
      </c>
      <c r="C11" s="9">
        <f>TabelaSalarioBase[[#This Row],[Cargo]]</f>
        <v>0</v>
      </c>
      <c r="D11" s="24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1">
        <f t="shared" si="0"/>
        <v>0</v>
      </c>
    </row>
    <row r="12" spans="1:17" s="1" customFormat="1" x14ac:dyDescent="0.25">
      <c r="A12" s="8">
        <f>TabelaSalarioBase[[#This Row],[Nº]]</f>
        <v>10</v>
      </c>
      <c r="B12" s="8">
        <f>TabelaSalarioBase[[#This Row],[Nome]]</f>
        <v>0</v>
      </c>
      <c r="C12" s="9">
        <f>TabelaSalarioBase[[#This Row],[Cargo]]</f>
        <v>0</v>
      </c>
      <c r="D12" s="24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1">
        <f t="shared" si="0"/>
        <v>0</v>
      </c>
    </row>
    <row r="13" spans="1:17" s="1" customFormat="1" x14ac:dyDescent="0.25">
      <c r="A13" s="8">
        <f>TabelaSalarioBase[[#This Row],[Nº]]</f>
        <v>11</v>
      </c>
      <c r="B13" s="8">
        <f>TabelaSalarioBase[[#This Row],[Nome]]</f>
        <v>0</v>
      </c>
      <c r="C13" s="9">
        <f>TabelaSalarioBase[[#This Row],[Cargo]]</f>
        <v>0</v>
      </c>
      <c r="D13" s="24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1">
        <f t="shared" si="0"/>
        <v>0</v>
      </c>
    </row>
    <row r="14" spans="1:17" s="1" customFormat="1" x14ac:dyDescent="0.25">
      <c r="A14" s="8">
        <f>TabelaSalarioBase[[#This Row],[Nº]]</f>
        <v>12</v>
      </c>
      <c r="B14" s="8">
        <f>TabelaSalarioBase[[#This Row],[Nome]]</f>
        <v>0</v>
      </c>
      <c r="C14" s="9">
        <f>TabelaSalarioBase[[#This Row],[Cargo]]</f>
        <v>0</v>
      </c>
      <c r="D14" s="24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1">
        <f t="shared" si="0"/>
        <v>0</v>
      </c>
    </row>
    <row r="15" spans="1:17" s="1" customFormat="1" x14ac:dyDescent="0.25">
      <c r="A15" s="8">
        <f>TabelaSalarioBase[[#This Row],[Nº]]</f>
        <v>13</v>
      </c>
      <c r="B15" s="8">
        <f>TabelaSalarioBase[[#This Row],[Nome]]</f>
        <v>0</v>
      </c>
      <c r="C15" s="9">
        <f>TabelaSalarioBase[[#This Row],[Cargo]]</f>
        <v>0</v>
      </c>
      <c r="D15" s="24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1">
        <f t="shared" si="0"/>
        <v>0</v>
      </c>
    </row>
    <row r="16" spans="1:17" s="1" customFormat="1" x14ac:dyDescent="0.25">
      <c r="A16" s="8">
        <f>TabelaSalarioBase[[#This Row],[Nº]]</f>
        <v>14</v>
      </c>
      <c r="B16" s="8">
        <f>TabelaSalarioBase[[#This Row],[Nome]]</f>
        <v>0</v>
      </c>
      <c r="C16" s="9">
        <f>TabelaSalarioBase[[#This Row],[Cargo]]</f>
        <v>0</v>
      </c>
      <c r="D16" s="24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1">
        <f t="shared" si="0"/>
        <v>0</v>
      </c>
    </row>
    <row r="17" spans="1:17" s="1" customFormat="1" x14ac:dyDescent="0.25">
      <c r="A17" s="8">
        <f>TabelaSalarioBase[[#This Row],[Nº]]</f>
        <v>15</v>
      </c>
      <c r="B17" s="8">
        <f>TabelaSalarioBase[[#This Row],[Nome]]</f>
        <v>0</v>
      </c>
      <c r="C17" s="9">
        <f>TabelaSalarioBase[[#This Row],[Cargo]]</f>
        <v>0</v>
      </c>
      <c r="D17" s="24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1">
        <f>SUM(E17:P17)</f>
        <v>0</v>
      </c>
    </row>
    <row r="18" spans="1:17" s="1" customFormat="1" x14ac:dyDescent="0.25">
      <c r="A18" s="8">
        <f>TabelaSalarioBase[[#This Row],[Nº]]</f>
        <v>16</v>
      </c>
      <c r="B18" s="8">
        <f>TabelaSalarioBase[[#This Row],[Nome]]</f>
        <v>0</v>
      </c>
      <c r="C18" s="9">
        <f>TabelaSalarioBase[[#This Row],[Cargo]]</f>
        <v>0</v>
      </c>
      <c r="D18" s="24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1">
        <f t="shared" si="0"/>
        <v>0</v>
      </c>
    </row>
    <row r="19" spans="1:17" s="1" customFormat="1" x14ac:dyDescent="0.25">
      <c r="A19" s="8">
        <f>TabelaSalarioBase[[#This Row],[Nº]]</f>
        <v>17</v>
      </c>
      <c r="B19" s="8">
        <f>TabelaSalarioBase[[#This Row],[Nome]]</f>
        <v>0</v>
      </c>
      <c r="C19" s="9">
        <f>TabelaSalarioBase[[#This Row],[Cargo]]</f>
        <v>0</v>
      </c>
      <c r="D19" s="24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1">
        <f t="shared" si="0"/>
        <v>0</v>
      </c>
    </row>
    <row r="20" spans="1:17" s="1" customFormat="1" x14ac:dyDescent="0.25">
      <c r="A20" s="8">
        <f>TabelaSalarioBase[[#This Row],[Nº]]</f>
        <v>18</v>
      </c>
      <c r="B20" s="8">
        <f>TabelaSalarioBase[[#This Row],[Nome]]</f>
        <v>0</v>
      </c>
      <c r="C20" s="9">
        <f>TabelaSalarioBase[[#This Row],[Cargo]]</f>
        <v>0</v>
      </c>
      <c r="D20" s="24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1">
        <f t="shared" si="0"/>
        <v>0</v>
      </c>
    </row>
    <row r="21" spans="1:17" s="1" customFormat="1" x14ac:dyDescent="0.25">
      <c r="A21" s="8">
        <f>TabelaSalarioBase[[#This Row],[Nº]]</f>
        <v>19</v>
      </c>
      <c r="B21" s="8">
        <f>TabelaSalarioBase[[#This Row],[Nome]]</f>
        <v>0</v>
      </c>
      <c r="C21" s="9">
        <f>TabelaSalarioBase[[#This Row],[Cargo]]</f>
        <v>0</v>
      </c>
      <c r="D21" s="23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1">
        <f>SUM(E21:P21)</f>
        <v>0</v>
      </c>
    </row>
    <row r="22" spans="1:17" s="1" customFormat="1" x14ac:dyDescent="0.25">
      <c r="A22" s="8">
        <f>TabelaSalarioBase[[#This Row],[Nº]]</f>
        <v>20</v>
      </c>
      <c r="B22" s="8">
        <f>TabelaSalarioBase[[#This Row],[Nome]]</f>
        <v>0</v>
      </c>
      <c r="C22" s="9">
        <f>TabelaSalarioBase[[#This Row],[Cargo]]</f>
        <v>0</v>
      </c>
      <c r="D22" s="24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1">
        <f t="shared" si="0"/>
        <v>0</v>
      </c>
    </row>
    <row r="23" spans="1:17" s="1" customFormat="1" x14ac:dyDescent="0.25">
      <c r="A23" s="8">
        <f>TabelaSalarioBase[[#This Row],[Nº]]</f>
        <v>21</v>
      </c>
      <c r="B23" s="8">
        <f>TabelaSalarioBase[[#This Row],[Nome]]</f>
        <v>0</v>
      </c>
      <c r="C23" s="9">
        <f>TabelaSalarioBase[[#This Row],[Cargo]]</f>
        <v>0</v>
      </c>
      <c r="D23" s="24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1">
        <f t="shared" si="0"/>
        <v>0</v>
      </c>
    </row>
    <row r="24" spans="1:17" s="1" customFormat="1" x14ac:dyDescent="0.25">
      <c r="A24" s="8">
        <f>TabelaSalarioBase[[#This Row],[Nº]]</f>
        <v>22</v>
      </c>
      <c r="B24" s="8">
        <f>TabelaSalarioBase[[#This Row],[Nome]]</f>
        <v>0</v>
      </c>
      <c r="C24" s="9">
        <f>TabelaSalarioBase[[#This Row],[Cargo]]</f>
        <v>0</v>
      </c>
      <c r="D24" s="24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1">
        <f t="shared" si="0"/>
        <v>0</v>
      </c>
    </row>
    <row r="25" spans="1:17" s="1" customFormat="1" x14ac:dyDescent="0.25">
      <c r="A25" s="8">
        <f>TabelaSalarioBase[[#This Row],[Nº]]</f>
        <v>23</v>
      </c>
      <c r="B25" s="8">
        <f>TabelaSalarioBase[[#This Row],[Nome]]</f>
        <v>0</v>
      </c>
      <c r="C25" s="9">
        <f>TabelaSalarioBase[[#This Row],[Cargo]]</f>
        <v>0</v>
      </c>
      <c r="D25" s="24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1">
        <f t="shared" si="0"/>
        <v>0</v>
      </c>
    </row>
    <row r="26" spans="1:17" s="1" customFormat="1" x14ac:dyDescent="0.25">
      <c r="A26" s="8">
        <f>TabelaSalarioBase[[#This Row],[Nº]]</f>
        <v>24</v>
      </c>
      <c r="B26" s="8">
        <f>TabelaSalarioBase[[#This Row],[Nome]]</f>
        <v>0</v>
      </c>
      <c r="C26" s="9">
        <f>TabelaSalarioBase[[#This Row],[Cargo]]</f>
        <v>0</v>
      </c>
      <c r="D26" s="24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1">
        <f t="shared" si="0"/>
        <v>0</v>
      </c>
    </row>
    <row r="27" spans="1:17" s="1" customFormat="1" x14ac:dyDescent="0.25">
      <c r="A27" s="8">
        <f>TabelaSalarioBase[[#This Row],[Nº]]</f>
        <v>25</v>
      </c>
      <c r="B27" s="8">
        <f>TabelaSalarioBase[[#This Row],[Nome]]</f>
        <v>0</v>
      </c>
      <c r="C27" s="9">
        <f>TabelaSalarioBase[[#This Row],[Cargo]]</f>
        <v>0</v>
      </c>
      <c r="D27" s="24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1">
        <f t="shared" si="0"/>
        <v>0</v>
      </c>
    </row>
    <row r="28" spans="1:17" s="1" customFormat="1" x14ac:dyDescent="0.25">
      <c r="A28" s="8">
        <f>TabelaSalarioBase[[#This Row],[Nº]]</f>
        <v>26</v>
      </c>
      <c r="B28" s="8">
        <f>TabelaSalarioBase[[#This Row],[Nome]]</f>
        <v>0</v>
      </c>
      <c r="C28" s="9">
        <f>TabelaSalarioBase[[#This Row],[Cargo]]</f>
        <v>0</v>
      </c>
      <c r="D28" s="24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1">
        <f t="shared" si="0"/>
        <v>0</v>
      </c>
    </row>
    <row r="29" spans="1:17" s="1" customFormat="1" x14ac:dyDescent="0.25">
      <c r="A29" s="8">
        <f>TabelaSalarioBase[[#This Row],[Nº]]</f>
        <v>27</v>
      </c>
      <c r="B29" s="8">
        <f>TabelaSalarioBase[[#This Row],[Nome]]</f>
        <v>0</v>
      </c>
      <c r="C29" s="9">
        <f>TabelaSalarioBase[[#This Row],[Cargo]]</f>
        <v>0</v>
      </c>
      <c r="D29" s="24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1">
        <f t="shared" si="0"/>
        <v>0</v>
      </c>
    </row>
    <row r="30" spans="1:17" s="1" customFormat="1" x14ac:dyDescent="0.25">
      <c r="A30" s="8">
        <f>TabelaSalarioBase[[#This Row],[Nº]]</f>
        <v>28</v>
      </c>
      <c r="B30" s="8">
        <f>TabelaSalarioBase[[#This Row],[Nome]]</f>
        <v>0</v>
      </c>
      <c r="C30" s="9">
        <f>TabelaSalarioBase[[#This Row],[Cargo]]</f>
        <v>0</v>
      </c>
      <c r="D30" s="24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1">
        <f>SUM(E30:P30)</f>
        <v>0</v>
      </c>
    </row>
    <row r="31" spans="1:17" s="1" customFormat="1" x14ac:dyDescent="0.25">
      <c r="A31" s="8">
        <f>TabelaSalarioBase[[#This Row],[Nº]]</f>
        <v>29</v>
      </c>
      <c r="B31" s="8">
        <f>TabelaSalarioBase[[#This Row],[Nome]]</f>
        <v>0</v>
      </c>
      <c r="C31" s="9">
        <f>TabelaSalarioBase[[#This Row],[Cargo]]</f>
        <v>0</v>
      </c>
      <c r="D31" s="24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1">
        <f>SUM(E31:P31)</f>
        <v>0</v>
      </c>
    </row>
    <row r="32" spans="1:17" s="1" customFormat="1" x14ac:dyDescent="0.25">
      <c r="A32" s="8">
        <f>TabelaSalarioBase[[#This Row],[Nº]]</f>
        <v>30</v>
      </c>
      <c r="B32" s="8">
        <f>TabelaSalarioBase[[#This Row],[Nome]]</f>
        <v>0</v>
      </c>
      <c r="C32" s="9">
        <f>TabelaSalarioBase[[#This Row],[Cargo]]</f>
        <v>0</v>
      </c>
      <c r="D32" s="24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4">
        <f t="shared" si="0"/>
        <v>0</v>
      </c>
    </row>
    <row r="33" spans="1:17" ht="18" x14ac:dyDescent="0.25">
      <c r="A33" s="50" t="s">
        <v>12</v>
      </c>
      <c r="B33" s="51"/>
      <c r="C33" s="51"/>
      <c r="D33" s="51"/>
      <c r="E33" s="44">
        <f>SUM(TabelaINSSPatronal[Janeiro])</f>
        <v>0</v>
      </c>
      <c r="F33" s="44">
        <f>SUM(TabelaINSSPatronal[Fevereiro])</f>
        <v>0</v>
      </c>
      <c r="G33" s="44">
        <f>SUM(TabelaINSSPatronal[Março])</f>
        <v>0</v>
      </c>
      <c r="H33" s="44">
        <f>SUM(TabelaINSSPatronal[Abril])</f>
        <v>0</v>
      </c>
      <c r="I33" s="44">
        <f>SUM(TabelaINSSPatronal[Maio])</f>
        <v>0</v>
      </c>
      <c r="J33" s="44">
        <f>SUM(TabelaINSSPatronal[Junho])</f>
        <v>0</v>
      </c>
      <c r="K33" s="44">
        <f>SUM(TabelaINSSPatronal[Julho])</f>
        <v>0</v>
      </c>
      <c r="L33" s="44">
        <f>SUM(TabelaINSSPatronal[Agosto])</f>
        <v>0</v>
      </c>
      <c r="M33" s="44">
        <f>SUM(TabelaINSSPatronal[Setembro])</f>
        <v>0</v>
      </c>
      <c r="N33" s="44">
        <f>SUM(TabelaINSSPatronal[Outubro])</f>
        <v>0</v>
      </c>
      <c r="O33" s="44">
        <f>SUM(TabelaINSSPatronal[Novembro])</f>
        <v>0</v>
      </c>
      <c r="P33" s="44">
        <f>SUM(TabelaINSSPatronal[Dezembro])</f>
        <v>0</v>
      </c>
      <c r="Q33" s="22">
        <f>SUM(Q3:Q32)</f>
        <v>0</v>
      </c>
    </row>
  </sheetData>
  <mergeCells count="2">
    <mergeCell ref="A1:Q1"/>
    <mergeCell ref="A33:D33"/>
  </mergeCells>
  <pageMargins left="0.25" right="0.25" top="0.75" bottom="0.75" header="0.3" footer="0.3"/>
  <pageSetup paperSize="9" scale="54" fitToHeight="0" orientation="landscape" verticalDpi="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Planilha7">
    <pageSetUpPr fitToPage="1"/>
  </sheetPr>
  <dimension ref="A1:Q33"/>
  <sheetViews>
    <sheetView zoomScale="80" zoomScaleNormal="80" workbookViewId="0">
      <selection activeCell="E33" sqref="E33:P33"/>
    </sheetView>
  </sheetViews>
  <sheetFormatPr defaultRowHeight="12.75" x14ac:dyDescent="0.2"/>
  <cols>
    <col min="1" max="1" width="3.42578125" style="7" bestFit="1" customWidth="1"/>
    <col min="2" max="2" width="35.7109375" style="7" customWidth="1"/>
    <col min="3" max="3" width="30.7109375" style="7" customWidth="1"/>
    <col min="4" max="4" width="9.28515625" style="7" bestFit="1" customWidth="1"/>
    <col min="5" max="8" width="14.28515625" style="2" bestFit="1" customWidth="1"/>
    <col min="9" max="16" width="13" style="2" bestFit="1" customWidth="1"/>
    <col min="17" max="17" width="21.42578125" style="2" bestFit="1" customWidth="1"/>
    <col min="18" max="16384" width="9.140625" style="2"/>
  </cols>
  <sheetData>
    <row r="1" spans="1:17" s="1" customFormat="1" ht="50.1" customHeight="1" thickBot="1" x14ac:dyDescent="0.3">
      <c r="A1" s="47" t="s">
        <v>82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9"/>
    </row>
    <row r="2" spans="1:17" s="1" customFormat="1" x14ac:dyDescent="0.25">
      <c r="A2" s="5" t="s">
        <v>25</v>
      </c>
      <c r="B2" s="5" t="s">
        <v>0</v>
      </c>
      <c r="C2" s="6" t="s">
        <v>1</v>
      </c>
      <c r="D2" s="6" t="s">
        <v>5</v>
      </c>
      <c r="E2" s="3" t="s">
        <v>16</v>
      </c>
      <c r="F2" s="3" t="s">
        <v>17</v>
      </c>
      <c r="G2" s="3" t="s">
        <v>18</v>
      </c>
      <c r="H2" s="3" t="s">
        <v>19</v>
      </c>
      <c r="I2" s="3" t="s">
        <v>24</v>
      </c>
      <c r="J2" s="3" t="s">
        <v>20</v>
      </c>
      <c r="K2" s="3" t="s">
        <v>21</v>
      </c>
      <c r="L2" s="3" t="s">
        <v>22</v>
      </c>
      <c r="M2" s="3" t="s">
        <v>29</v>
      </c>
      <c r="N2" s="3" t="s">
        <v>23</v>
      </c>
      <c r="O2" s="3" t="s">
        <v>27</v>
      </c>
      <c r="P2" s="3" t="s">
        <v>28</v>
      </c>
      <c r="Q2" s="4" t="s">
        <v>2</v>
      </c>
    </row>
    <row r="3" spans="1:17" s="1" customFormat="1" x14ac:dyDescent="0.25">
      <c r="A3" s="8">
        <f>TabelaSalarioBase[[#This Row],[Nº]]</f>
        <v>1</v>
      </c>
      <c r="B3" s="8">
        <f>TabelaSalarioBase[[#This Row],[Nome]]</f>
        <v>0</v>
      </c>
      <c r="C3" s="9">
        <f>TabelaSalarioBase[[#This Row],[Cargo]]</f>
        <v>0</v>
      </c>
      <c r="D3" s="23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1">
        <f>SUM(E3:P3)</f>
        <v>0</v>
      </c>
    </row>
    <row r="4" spans="1:17" s="1" customFormat="1" x14ac:dyDescent="0.25">
      <c r="A4" s="8">
        <f>TabelaSalarioBase[[#This Row],[Nº]]</f>
        <v>2</v>
      </c>
      <c r="B4" s="8">
        <f>TabelaSalarioBase[[#This Row],[Nome]]</f>
        <v>0</v>
      </c>
      <c r="C4" s="9">
        <f>TabelaSalarioBase[[#This Row],[Cargo]]</f>
        <v>0</v>
      </c>
      <c r="D4" s="24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1">
        <f t="shared" ref="Q4:Q32" si="0">SUM(E4:P4)</f>
        <v>0</v>
      </c>
    </row>
    <row r="5" spans="1:17" s="1" customFormat="1" x14ac:dyDescent="0.25">
      <c r="A5" s="8">
        <f>TabelaSalarioBase[[#This Row],[Nº]]</f>
        <v>3</v>
      </c>
      <c r="B5" s="8">
        <f>TabelaSalarioBase[[#This Row],[Nome]]</f>
        <v>0</v>
      </c>
      <c r="C5" s="9">
        <f>TabelaSalarioBase[[#This Row],[Cargo]]</f>
        <v>0</v>
      </c>
      <c r="D5" s="23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1">
        <f t="shared" si="0"/>
        <v>0</v>
      </c>
    </row>
    <row r="6" spans="1:17" s="1" customFormat="1" x14ac:dyDescent="0.25">
      <c r="A6" s="8">
        <f>TabelaSalarioBase[[#This Row],[Nº]]</f>
        <v>4</v>
      </c>
      <c r="B6" s="8">
        <f>TabelaSalarioBase[[#This Row],[Nome]]</f>
        <v>0</v>
      </c>
      <c r="C6" s="9">
        <f>TabelaSalarioBase[[#This Row],[Cargo]]</f>
        <v>0</v>
      </c>
      <c r="D6" s="2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1">
        <f t="shared" si="0"/>
        <v>0</v>
      </c>
    </row>
    <row r="7" spans="1:17" s="1" customFormat="1" x14ac:dyDescent="0.25">
      <c r="A7" s="8">
        <f>TabelaSalarioBase[[#This Row],[Nº]]</f>
        <v>5</v>
      </c>
      <c r="B7" s="8">
        <f>TabelaSalarioBase[[#This Row],[Nome]]</f>
        <v>0</v>
      </c>
      <c r="C7" s="9">
        <f>TabelaSalarioBase[[#This Row],[Cargo]]</f>
        <v>0</v>
      </c>
      <c r="D7" s="23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1">
        <f t="shared" si="0"/>
        <v>0</v>
      </c>
    </row>
    <row r="8" spans="1:17" s="1" customFormat="1" x14ac:dyDescent="0.25">
      <c r="A8" s="8">
        <f>TabelaSalarioBase[[#This Row],[Nº]]</f>
        <v>6</v>
      </c>
      <c r="B8" s="8">
        <f>TabelaSalarioBase[[#This Row],[Nome]]</f>
        <v>0</v>
      </c>
      <c r="C8" s="9">
        <f>TabelaSalarioBase[[#This Row],[Cargo]]</f>
        <v>0</v>
      </c>
      <c r="D8" s="24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1">
        <f t="shared" si="0"/>
        <v>0</v>
      </c>
    </row>
    <row r="9" spans="1:17" s="1" customFormat="1" x14ac:dyDescent="0.25">
      <c r="A9" s="8">
        <f>TabelaSalarioBase[[#This Row],[Nº]]</f>
        <v>7</v>
      </c>
      <c r="B9" s="8">
        <f>TabelaSalarioBase[[#This Row],[Nome]]</f>
        <v>0</v>
      </c>
      <c r="C9" s="9">
        <f>TabelaSalarioBase[[#This Row],[Cargo]]</f>
        <v>0</v>
      </c>
      <c r="D9" s="23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1">
        <f t="shared" si="0"/>
        <v>0</v>
      </c>
    </row>
    <row r="10" spans="1:17" s="1" customFormat="1" x14ac:dyDescent="0.25">
      <c r="A10" s="8">
        <f>TabelaSalarioBase[[#This Row],[Nº]]</f>
        <v>8</v>
      </c>
      <c r="B10" s="8">
        <f>TabelaSalarioBase[[#This Row],[Nome]]</f>
        <v>0</v>
      </c>
      <c r="C10" s="9">
        <f>TabelaSalarioBase[[#This Row],[Cargo]]</f>
        <v>0</v>
      </c>
      <c r="D10" s="24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1">
        <f t="shared" si="0"/>
        <v>0</v>
      </c>
    </row>
    <row r="11" spans="1:17" s="1" customFormat="1" x14ac:dyDescent="0.25">
      <c r="A11" s="8">
        <f>TabelaSalarioBase[[#This Row],[Nº]]</f>
        <v>9</v>
      </c>
      <c r="B11" s="8">
        <f>TabelaSalarioBase[[#This Row],[Nome]]</f>
        <v>0</v>
      </c>
      <c r="C11" s="9">
        <f>TabelaSalarioBase[[#This Row],[Cargo]]</f>
        <v>0</v>
      </c>
      <c r="D11" s="23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1">
        <f t="shared" si="0"/>
        <v>0</v>
      </c>
    </row>
    <row r="12" spans="1:17" s="1" customFormat="1" x14ac:dyDescent="0.25">
      <c r="A12" s="8">
        <f>TabelaSalarioBase[[#This Row],[Nº]]</f>
        <v>10</v>
      </c>
      <c r="B12" s="8">
        <f>TabelaSalarioBase[[#This Row],[Nome]]</f>
        <v>0</v>
      </c>
      <c r="C12" s="9">
        <f>TabelaSalarioBase[[#This Row],[Cargo]]</f>
        <v>0</v>
      </c>
      <c r="D12" s="24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1">
        <f t="shared" si="0"/>
        <v>0</v>
      </c>
    </row>
    <row r="13" spans="1:17" s="1" customFormat="1" x14ac:dyDescent="0.25">
      <c r="A13" s="8">
        <f>TabelaSalarioBase[[#This Row],[Nº]]</f>
        <v>11</v>
      </c>
      <c r="B13" s="8">
        <f>TabelaSalarioBase[[#This Row],[Nome]]</f>
        <v>0</v>
      </c>
      <c r="C13" s="9">
        <f>TabelaSalarioBase[[#This Row],[Cargo]]</f>
        <v>0</v>
      </c>
      <c r="D13" s="23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1">
        <f t="shared" si="0"/>
        <v>0</v>
      </c>
    </row>
    <row r="14" spans="1:17" s="1" customFormat="1" x14ac:dyDescent="0.25">
      <c r="A14" s="8">
        <f>TabelaSalarioBase[[#This Row],[Nº]]</f>
        <v>12</v>
      </c>
      <c r="B14" s="8">
        <f>TabelaSalarioBase[[#This Row],[Nome]]</f>
        <v>0</v>
      </c>
      <c r="C14" s="9">
        <f>TabelaSalarioBase[[#This Row],[Cargo]]</f>
        <v>0</v>
      </c>
      <c r="D14" s="24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1">
        <f t="shared" si="0"/>
        <v>0</v>
      </c>
    </row>
    <row r="15" spans="1:17" s="1" customFormat="1" x14ac:dyDescent="0.25">
      <c r="A15" s="8">
        <f>TabelaSalarioBase[[#This Row],[Nº]]</f>
        <v>13</v>
      </c>
      <c r="B15" s="8">
        <f>TabelaSalarioBase[[#This Row],[Nome]]</f>
        <v>0</v>
      </c>
      <c r="C15" s="9">
        <f>TabelaSalarioBase[[#This Row],[Cargo]]</f>
        <v>0</v>
      </c>
      <c r="D15" s="23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1">
        <f t="shared" si="0"/>
        <v>0</v>
      </c>
    </row>
    <row r="16" spans="1:17" s="1" customFormat="1" x14ac:dyDescent="0.25">
      <c r="A16" s="8">
        <f>TabelaSalarioBase[[#This Row],[Nº]]</f>
        <v>14</v>
      </c>
      <c r="B16" s="8">
        <f>TabelaSalarioBase[[#This Row],[Nome]]</f>
        <v>0</v>
      </c>
      <c r="C16" s="9">
        <f>TabelaSalarioBase[[#This Row],[Cargo]]</f>
        <v>0</v>
      </c>
      <c r="D16" s="24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1">
        <f t="shared" si="0"/>
        <v>0</v>
      </c>
    </row>
    <row r="17" spans="1:17" s="1" customFormat="1" x14ac:dyDescent="0.25">
      <c r="A17" s="8">
        <f>TabelaSalarioBase[[#This Row],[Nº]]</f>
        <v>15</v>
      </c>
      <c r="B17" s="8">
        <f>TabelaSalarioBase[[#This Row],[Nome]]</f>
        <v>0</v>
      </c>
      <c r="C17" s="9">
        <f>TabelaSalarioBase[[#This Row],[Cargo]]</f>
        <v>0</v>
      </c>
      <c r="D17" s="23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1">
        <f>SUM(E17:P17)</f>
        <v>0</v>
      </c>
    </row>
    <row r="18" spans="1:17" s="1" customFormat="1" x14ac:dyDescent="0.25">
      <c r="A18" s="8">
        <f>TabelaSalarioBase[[#This Row],[Nº]]</f>
        <v>16</v>
      </c>
      <c r="B18" s="8">
        <f>TabelaSalarioBase[[#This Row],[Nome]]</f>
        <v>0</v>
      </c>
      <c r="C18" s="9">
        <f>TabelaSalarioBase[[#This Row],[Cargo]]</f>
        <v>0</v>
      </c>
      <c r="D18" s="24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1">
        <f t="shared" si="0"/>
        <v>0</v>
      </c>
    </row>
    <row r="19" spans="1:17" s="1" customFormat="1" x14ac:dyDescent="0.25">
      <c r="A19" s="8">
        <f>TabelaSalarioBase[[#This Row],[Nº]]</f>
        <v>17</v>
      </c>
      <c r="B19" s="8">
        <f>TabelaSalarioBase[[#This Row],[Nome]]</f>
        <v>0</v>
      </c>
      <c r="C19" s="9">
        <f>TabelaSalarioBase[[#This Row],[Cargo]]</f>
        <v>0</v>
      </c>
      <c r="D19" s="23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1">
        <f t="shared" si="0"/>
        <v>0</v>
      </c>
    </row>
    <row r="20" spans="1:17" s="1" customFormat="1" x14ac:dyDescent="0.25">
      <c r="A20" s="8">
        <f>TabelaSalarioBase[[#This Row],[Nº]]</f>
        <v>18</v>
      </c>
      <c r="B20" s="8">
        <f>TabelaSalarioBase[[#This Row],[Nome]]</f>
        <v>0</v>
      </c>
      <c r="C20" s="9">
        <f>TabelaSalarioBase[[#This Row],[Cargo]]</f>
        <v>0</v>
      </c>
      <c r="D20" s="24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1">
        <f t="shared" si="0"/>
        <v>0</v>
      </c>
    </row>
    <row r="21" spans="1:17" s="1" customFormat="1" x14ac:dyDescent="0.25">
      <c r="A21" s="8">
        <f>TabelaSalarioBase[[#This Row],[Nº]]</f>
        <v>19</v>
      </c>
      <c r="B21" s="8">
        <f>TabelaSalarioBase[[#This Row],[Nome]]</f>
        <v>0</v>
      </c>
      <c r="C21" s="9">
        <f>TabelaSalarioBase[[#This Row],[Cargo]]</f>
        <v>0</v>
      </c>
      <c r="D21" s="23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1">
        <f>SUM(E21:P21)</f>
        <v>0</v>
      </c>
    </row>
    <row r="22" spans="1:17" s="1" customFormat="1" x14ac:dyDescent="0.25">
      <c r="A22" s="8">
        <f>TabelaSalarioBase[[#This Row],[Nº]]</f>
        <v>20</v>
      </c>
      <c r="B22" s="8">
        <f>TabelaSalarioBase[[#This Row],[Nome]]</f>
        <v>0</v>
      </c>
      <c r="C22" s="9">
        <f>TabelaSalarioBase[[#This Row],[Cargo]]</f>
        <v>0</v>
      </c>
      <c r="D22" s="24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1">
        <f t="shared" si="0"/>
        <v>0</v>
      </c>
    </row>
    <row r="23" spans="1:17" s="1" customFormat="1" x14ac:dyDescent="0.25">
      <c r="A23" s="8">
        <f>TabelaSalarioBase[[#This Row],[Nº]]</f>
        <v>21</v>
      </c>
      <c r="B23" s="8">
        <f>TabelaSalarioBase[[#This Row],[Nome]]</f>
        <v>0</v>
      </c>
      <c r="C23" s="9">
        <f>TabelaSalarioBase[[#This Row],[Cargo]]</f>
        <v>0</v>
      </c>
      <c r="D23" s="23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1">
        <f t="shared" si="0"/>
        <v>0</v>
      </c>
    </row>
    <row r="24" spans="1:17" s="1" customFormat="1" x14ac:dyDescent="0.25">
      <c r="A24" s="8">
        <f>TabelaSalarioBase[[#This Row],[Nº]]</f>
        <v>22</v>
      </c>
      <c r="B24" s="8">
        <f>TabelaSalarioBase[[#This Row],[Nome]]</f>
        <v>0</v>
      </c>
      <c r="C24" s="9">
        <f>TabelaSalarioBase[[#This Row],[Cargo]]</f>
        <v>0</v>
      </c>
      <c r="D24" s="24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1">
        <f t="shared" si="0"/>
        <v>0</v>
      </c>
    </row>
    <row r="25" spans="1:17" s="1" customFormat="1" x14ac:dyDescent="0.25">
      <c r="A25" s="8">
        <f>TabelaSalarioBase[[#This Row],[Nº]]</f>
        <v>23</v>
      </c>
      <c r="B25" s="8">
        <f>TabelaSalarioBase[[#This Row],[Nome]]</f>
        <v>0</v>
      </c>
      <c r="C25" s="9">
        <f>TabelaSalarioBase[[#This Row],[Cargo]]</f>
        <v>0</v>
      </c>
      <c r="D25" s="23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1">
        <f t="shared" si="0"/>
        <v>0</v>
      </c>
    </row>
    <row r="26" spans="1:17" s="1" customFormat="1" x14ac:dyDescent="0.25">
      <c r="A26" s="8">
        <f>TabelaSalarioBase[[#This Row],[Nº]]</f>
        <v>24</v>
      </c>
      <c r="B26" s="8">
        <f>TabelaSalarioBase[[#This Row],[Nome]]</f>
        <v>0</v>
      </c>
      <c r="C26" s="9">
        <f>TabelaSalarioBase[[#This Row],[Cargo]]</f>
        <v>0</v>
      </c>
      <c r="D26" s="24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1">
        <f t="shared" si="0"/>
        <v>0</v>
      </c>
    </row>
    <row r="27" spans="1:17" s="1" customFormat="1" x14ac:dyDescent="0.25">
      <c r="A27" s="8">
        <f>TabelaSalarioBase[[#This Row],[Nº]]</f>
        <v>25</v>
      </c>
      <c r="B27" s="8">
        <f>TabelaSalarioBase[[#This Row],[Nome]]</f>
        <v>0</v>
      </c>
      <c r="C27" s="9">
        <f>TabelaSalarioBase[[#This Row],[Cargo]]</f>
        <v>0</v>
      </c>
      <c r="D27" s="23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1">
        <f t="shared" si="0"/>
        <v>0</v>
      </c>
    </row>
    <row r="28" spans="1:17" s="1" customFormat="1" x14ac:dyDescent="0.25">
      <c r="A28" s="8">
        <f>TabelaSalarioBase[[#This Row],[Nº]]</f>
        <v>26</v>
      </c>
      <c r="B28" s="8">
        <f>TabelaSalarioBase[[#This Row],[Nome]]</f>
        <v>0</v>
      </c>
      <c r="C28" s="9">
        <f>TabelaSalarioBase[[#This Row],[Cargo]]</f>
        <v>0</v>
      </c>
      <c r="D28" s="24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1">
        <f t="shared" si="0"/>
        <v>0</v>
      </c>
    </row>
    <row r="29" spans="1:17" s="1" customFormat="1" x14ac:dyDescent="0.25">
      <c r="A29" s="8">
        <f>TabelaSalarioBase[[#This Row],[Nº]]</f>
        <v>27</v>
      </c>
      <c r="B29" s="8">
        <f>TabelaSalarioBase[[#This Row],[Nome]]</f>
        <v>0</v>
      </c>
      <c r="C29" s="9">
        <f>TabelaSalarioBase[[#This Row],[Cargo]]</f>
        <v>0</v>
      </c>
      <c r="D29" s="23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1">
        <f t="shared" si="0"/>
        <v>0</v>
      </c>
    </row>
    <row r="30" spans="1:17" s="1" customFormat="1" x14ac:dyDescent="0.25">
      <c r="A30" s="8">
        <f>TabelaSalarioBase[[#This Row],[Nº]]</f>
        <v>28</v>
      </c>
      <c r="B30" s="8">
        <f>TabelaSalarioBase[[#This Row],[Nome]]</f>
        <v>0</v>
      </c>
      <c r="C30" s="9">
        <f>TabelaSalarioBase[[#This Row],[Cargo]]</f>
        <v>0</v>
      </c>
      <c r="D30" s="24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1">
        <f>SUM(E30:P30)</f>
        <v>0</v>
      </c>
    </row>
    <row r="31" spans="1:17" s="1" customFormat="1" x14ac:dyDescent="0.25">
      <c r="A31" s="8">
        <f>TabelaSalarioBase[[#This Row],[Nº]]</f>
        <v>29</v>
      </c>
      <c r="B31" s="8">
        <f>TabelaSalarioBase[[#This Row],[Nome]]</f>
        <v>0</v>
      </c>
      <c r="C31" s="9">
        <f>TabelaSalarioBase[[#This Row],[Cargo]]</f>
        <v>0</v>
      </c>
      <c r="D31" s="23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1">
        <f>SUM(E31:P31)</f>
        <v>0</v>
      </c>
    </row>
    <row r="32" spans="1:17" s="1" customFormat="1" x14ac:dyDescent="0.25">
      <c r="A32" s="8">
        <f>TabelaSalarioBase[[#This Row],[Nº]]</f>
        <v>30</v>
      </c>
      <c r="B32" s="8">
        <f>TabelaSalarioBase[[#This Row],[Nome]]</f>
        <v>0</v>
      </c>
      <c r="C32" s="9">
        <f>TabelaSalarioBase[[#This Row],[Cargo]]</f>
        <v>0</v>
      </c>
      <c r="D32" s="24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4">
        <f t="shared" si="0"/>
        <v>0</v>
      </c>
    </row>
    <row r="33" spans="1:17" ht="18" x14ac:dyDescent="0.25">
      <c r="A33" s="50" t="s">
        <v>12</v>
      </c>
      <c r="B33" s="51"/>
      <c r="C33" s="51"/>
      <c r="D33" s="51"/>
      <c r="E33" s="44">
        <f>SUM(TabelaPIS[Janeiro])</f>
        <v>0</v>
      </c>
      <c r="F33" s="44">
        <f>SUM(TabelaPIS[Fevereiro])</f>
        <v>0</v>
      </c>
      <c r="G33" s="44">
        <f>SUM(TabelaPIS[Março])</f>
        <v>0</v>
      </c>
      <c r="H33" s="44">
        <f>SUM(TabelaPIS[Abril])</f>
        <v>0</v>
      </c>
      <c r="I33" s="44">
        <f>SUM(TabelaPIS[Maio])</f>
        <v>0</v>
      </c>
      <c r="J33" s="44">
        <f>SUM(TabelaPIS[Junho])</f>
        <v>0</v>
      </c>
      <c r="K33" s="44">
        <f>SUM(TabelaPIS[Julho])</f>
        <v>0</v>
      </c>
      <c r="L33" s="44">
        <f>SUM(TabelaPIS[Agosto])</f>
        <v>0</v>
      </c>
      <c r="M33" s="44">
        <f>SUM(TabelaPIS[Setembro])</f>
        <v>0</v>
      </c>
      <c r="N33" s="44">
        <f>SUM(TabelaPIS[Outubro])</f>
        <v>0</v>
      </c>
      <c r="O33" s="44">
        <f>SUM(TabelaPIS[Novembro])</f>
        <v>0</v>
      </c>
      <c r="P33" s="44">
        <f>SUM(TabelaPIS[Dezembro])</f>
        <v>0</v>
      </c>
      <c r="Q33" s="22">
        <f>SUM(Q3:Q32)</f>
        <v>0</v>
      </c>
    </row>
  </sheetData>
  <mergeCells count="2">
    <mergeCell ref="A1:Q1"/>
    <mergeCell ref="A33:D33"/>
  </mergeCells>
  <pageMargins left="0.25" right="0.25" top="0.75" bottom="0.75" header="0.3" footer="0.3"/>
  <pageSetup paperSize="9" scale="54" fitToHeight="0" orientation="landscape" verticalDpi="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Planilha8">
    <pageSetUpPr fitToPage="1"/>
  </sheetPr>
  <dimension ref="A1:K33"/>
  <sheetViews>
    <sheetView zoomScale="80" zoomScaleNormal="80" workbookViewId="0">
      <selection activeCell="J33" sqref="D33:J33"/>
    </sheetView>
  </sheetViews>
  <sheetFormatPr defaultRowHeight="12.75" x14ac:dyDescent="0.2"/>
  <cols>
    <col min="1" max="1" width="3.42578125" style="7" bestFit="1" customWidth="1"/>
    <col min="2" max="2" width="35.7109375" style="7" customWidth="1"/>
    <col min="3" max="3" width="30.7109375" style="7" customWidth="1"/>
    <col min="4" max="4" width="14.28515625" style="2" bestFit="1" customWidth="1"/>
    <col min="5" max="5" width="14.28515625" style="2" customWidth="1"/>
    <col min="6" max="8" width="14.28515625" style="2" bestFit="1" customWidth="1"/>
    <col min="9" max="10" width="13" style="2" bestFit="1" customWidth="1"/>
    <col min="11" max="11" width="21.42578125" style="2" bestFit="1" customWidth="1"/>
    <col min="12" max="16384" width="9.140625" style="2"/>
  </cols>
  <sheetData>
    <row r="1" spans="1:11" s="1" customFormat="1" ht="50.1" customHeight="1" thickBot="1" x14ac:dyDescent="0.3">
      <c r="A1" s="47" t="s">
        <v>83</v>
      </c>
      <c r="B1" s="48"/>
      <c r="C1" s="48"/>
      <c r="D1" s="48"/>
      <c r="E1" s="48"/>
      <c r="F1" s="48"/>
      <c r="G1" s="48"/>
      <c r="H1" s="48"/>
      <c r="I1" s="48"/>
      <c r="J1" s="48"/>
      <c r="K1" s="49"/>
    </row>
    <row r="2" spans="1:11" s="1" customFormat="1" x14ac:dyDescent="0.25">
      <c r="A2" s="5" t="s">
        <v>25</v>
      </c>
      <c r="B2" s="5" t="s">
        <v>0</v>
      </c>
      <c r="C2" s="6" t="s">
        <v>1</v>
      </c>
      <c r="D2" s="3" t="s">
        <v>27</v>
      </c>
      <c r="E2" s="3" t="s">
        <v>28</v>
      </c>
      <c r="F2" s="3" t="s">
        <v>11</v>
      </c>
      <c r="G2" s="3" t="s">
        <v>3</v>
      </c>
      <c r="H2" s="3" t="s">
        <v>4</v>
      </c>
      <c r="I2" s="3" t="s">
        <v>26</v>
      </c>
      <c r="J2" s="3" t="s">
        <v>14</v>
      </c>
      <c r="K2" s="4" t="s">
        <v>2</v>
      </c>
    </row>
    <row r="3" spans="1:11" s="1" customFormat="1" x14ac:dyDescent="0.25">
      <c r="A3" s="8">
        <f>TabelaSalarioBase[[#This Row],[Nº]]</f>
        <v>1</v>
      </c>
      <c r="B3" s="8">
        <f>TabelaSalarioBase[[#This Row],[Nome]]</f>
        <v>0</v>
      </c>
      <c r="C3" s="9">
        <f>TabelaSalarioBase[[#This Row],[Cargo]]</f>
        <v>0</v>
      </c>
      <c r="D3" s="10"/>
      <c r="E3" s="10"/>
      <c r="F3" s="10"/>
      <c r="G3" s="10"/>
      <c r="H3" s="10"/>
      <c r="I3" s="10"/>
      <c r="J3" s="10"/>
      <c r="K3" s="11">
        <f t="shared" ref="K3:K32" si="0">SUM(D3:J3)</f>
        <v>0</v>
      </c>
    </row>
    <row r="4" spans="1:11" s="1" customFormat="1" x14ac:dyDescent="0.25">
      <c r="A4" s="8">
        <f>TabelaSalarioBase[[#This Row],[Nº]]</f>
        <v>2</v>
      </c>
      <c r="B4" s="8">
        <f>TabelaSalarioBase[[#This Row],[Nome]]</f>
        <v>0</v>
      </c>
      <c r="C4" s="9">
        <f>TabelaSalarioBase[[#This Row],[Cargo]]</f>
        <v>0</v>
      </c>
      <c r="D4" s="12"/>
      <c r="E4" s="12"/>
      <c r="F4" s="12"/>
      <c r="G4" s="12"/>
      <c r="H4" s="12"/>
      <c r="I4" s="12"/>
      <c r="J4" s="12"/>
      <c r="K4" s="11">
        <f t="shared" si="0"/>
        <v>0</v>
      </c>
    </row>
    <row r="5" spans="1:11" s="1" customFormat="1" x14ac:dyDescent="0.25">
      <c r="A5" s="8">
        <f>TabelaSalarioBase[[#This Row],[Nº]]</f>
        <v>3</v>
      </c>
      <c r="B5" s="8">
        <f>TabelaSalarioBase[[#This Row],[Nome]]</f>
        <v>0</v>
      </c>
      <c r="C5" s="9">
        <f>TabelaSalarioBase[[#This Row],[Cargo]]</f>
        <v>0</v>
      </c>
      <c r="D5" s="12"/>
      <c r="E5" s="12"/>
      <c r="F5" s="12"/>
      <c r="G5" s="12"/>
      <c r="H5" s="12"/>
      <c r="I5" s="12"/>
      <c r="J5" s="12"/>
      <c r="K5" s="11">
        <f t="shared" si="0"/>
        <v>0</v>
      </c>
    </row>
    <row r="6" spans="1:11" s="1" customFormat="1" x14ac:dyDescent="0.25">
      <c r="A6" s="8">
        <f>TabelaSalarioBase[[#This Row],[Nº]]</f>
        <v>4</v>
      </c>
      <c r="B6" s="8">
        <f>TabelaSalarioBase[[#This Row],[Nome]]</f>
        <v>0</v>
      </c>
      <c r="C6" s="9">
        <f>TabelaSalarioBase[[#This Row],[Cargo]]</f>
        <v>0</v>
      </c>
      <c r="D6" s="12"/>
      <c r="E6" s="12"/>
      <c r="F6" s="12"/>
      <c r="G6" s="12"/>
      <c r="H6" s="12"/>
      <c r="I6" s="12"/>
      <c r="J6" s="12"/>
      <c r="K6" s="11">
        <f t="shared" si="0"/>
        <v>0</v>
      </c>
    </row>
    <row r="7" spans="1:11" s="1" customFormat="1" x14ac:dyDescent="0.25">
      <c r="A7" s="8">
        <f>TabelaSalarioBase[[#This Row],[Nº]]</f>
        <v>5</v>
      </c>
      <c r="B7" s="8">
        <f>TabelaSalarioBase[[#This Row],[Nome]]</f>
        <v>0</v>
      </c>
      <c r="C7" s="9">
        <f>TabelaSalarioBase[[#This Row],[Cargo]]</f>
        <v>0</v>
      </c>
      <c r="D7" s="12"/>
      <c r="E7" s="12"/>
      <c r="F7" s="12"/>
      <c r="G7" s="12"/>
      <c r="H7" s="12"/>
      <c r="I7" s="12"/>
      <c r="J7" s="12"/>
      <c r="K7" s="11">
        <f t="shared" si="0"/>
        <v>0</v>
      </c>
    </row>
    <row r="8" spans="1:11" s="1" customFormat="1" x14ac:dyDescent="0.25">
      <c r="A8" s="8">
        <f>TabelaSalarioBase[[#This Row],[Nº]]</f>
        <v>6</v>
      </c>
      <c r="B8" s="8">
        <f>TabelaSalarioBase[[#This Row],[Nome]]</f>
        <v>0</v>
      </c>
      <c r="C8" s="9">
        <f>TabelaSalarioBase[[#This Row],[Cargo]]</f>
        <v>0</v>
      </c>
      <c r="D8" s="12"/>
      <c r="E8" s="12"/>
      <c r="F8" s="12"/>
      <c r="G8" s="12"/>
      <c r="H8" s="12"/>
      <c r="I8" s="12"/>
      <c r="J8" s="12"/>
      <c r="K8" s="11">
        <f t="shared" si="0"/>
        <v>0</v>
      </c>
    </row>
    <row r="9" spans="1:11" s="1" customFormat="1" x14ac:dyDescent="0.25">
      <c r="A9" s="8">
        <f>TabelaSalarioBase[[#This Row],[Nº]]</f>
        <v>7</v>
      </c>
      <c r="B9" s="8">
        <f>TabelaSalarioBase[[#This Row],[Nome]]</f>
        <v>0</v>
      </c>
      <c r="C9" s="9">
        <f>TabelaSalarioBase[[#This Row],[Cargo]]</f>
        <v>0</v>
      </c>
      <c r="D9" s="12"/>
      <c r="E9" s="12"/>
      <c r="F9" s="12"/>
      <c r="G9" s="12"/>
      <c r="H9" s="12"/>
      <c r="I9" s="12"/>
      <c r="J9" s="12"/>
      <c r="K9" s="11">
        <f t="shared" si="0"/>
        <v>0</v>
      </c>
    </row>
    <row r="10" spans="1:11" s="1" customFormat="1" x14ac:dyDescent="0.25">
      <c r="A10" s="8">
        <f>TabelaSalarioBase[[#This Row],[Nº]]</f>
        <v>8</v>
      </c>
      <c r="B10" s="8">
        <f>TabelaSalarioBase[[#This Row],[Nome]]</f>
        <v>0</v>
      </c>
      <c r="C10" s="9">
        <f>TabelaSalarioBase[[#This Row],[Cargo]]</f>
        <v>0</v>
      </c>
      <c r="D10" s="12"/>
      <c r="E10" s="12"/>
      <c r="F10" s="12"/>
      <c r="G10" s="12"/>
      <c r="H10" s="12"/>
      <c r="I10" s="12"/>
      <c r="J10" s="12"/>
      <c r="K10" s="11">
        <f t="shared" si="0"/>
        <v>0</v>
      </c>
    </row>
    <row r="11" spans="1:11" s="1" customFormat="1" x14ac:dyDescent="0.25">
      <c r="A11" s="8">
        <f>TabelaSalarioBase[[#This Row],[Nº]]</f>
        <v>9</v>
      </c>
      <c r="B11" s="8">
        <f>TabelaSalarioBase[[#This Row],[Nome]]</f>
        <v>0</v>
      </c>
      <c r="C11" s="9">
        <f>TabelaSalarioBase[[#This Row],[Cargo]]</f>
        <v>0</v>
      </c>
      <c r="D11" s="12"/>
      <c r="E11" s="12"/>
      <c r="F11" s="12"/>
      <c r="G11" s="12"/>
      <c r="H11" s="12"/>
      <c r="I11" s="12"/>
      <c r="J11" s="12"/>
      <c r="K11" s="11">
        <f t="shared" si="0"/>
        <v>0</v>
      </c>
    </row>
    <row r="12" spans="1:11" s="1" customFormat="1" x14ac:dyDescent="0.25">
      <c r="A12" s="8">
        <f>TabelaSalarioBase[[#This Row],[Nº]]</f>
        <v>10</v>
      </c>
      <c r="B12" s="8">
        <f>TabelaSalarioBase[[#This Row],[Nome]]</f>
        <v>0</v>
      </c>
      <c r="C12" s="9">
        <f>TabelaSalarioBase[[#This Row],[Cargo]]</f>
        <v>0</v>
      </c>
      <c r="D12" s="12"/>
      <c r="E12" s="12"/>
      <c r="F12" s="12"/>
      <c r="G12" s="12"/>
      <c r="H12" s="12"/>
      <c r="I12" s="12"/>
      <c r="J12" s="12"/>
      <c r="K12" s="11">
        <f t="shared" si="0"/>
        <v>0</v>
      </c>
    </row>
    <row r="13" spans="1:11" s="1" customFormat="1" x14ac:dyDescent="0.25">
      <c r="A13" s="8">
        <f>TabelaSalarioBase[[#This Row],[Nº]]</f>
        <v>11</v>
      </c>
      <c r="B13" s="8">
        <f>TabelaSalarioBase[[#This Row],[Nome]]</f>
        <v>0</v>
      </c>
      <c r="C13" s="9">
        <f>TabelaSalarioBase[[#This Row],[Cargo]]</f>
        <v>0</v>
      </c>
      <c r="D13" s="12"/>
      <c r="E13" s="12"/>
      <c r="F13" s="12"/>
      <c r="G13" s="12"/>
      <c r="H13" s="12"/>
      <c r="I13" s="12"/>
      <c r="J13" s="12"/>
      <c r="K13" s="11">
        <f t="shared" si="0"/>
        <v>0</v>
      </c>
    </row>
    <row r="14" spans="1:11" s="1" customFormat="1" x14ac:dyDescent="0.25">
      <c r="A14" s="8">
        <f>TabelaSalarioBase[[#This Row],[Nº]]</f>
        <v>12</v>
      </c>
      <c r="B14" s="8">
        <f>TabelaSalarioBase[[#This Row],[Nome]]</f>
        <v>0</v>
      </c>
      <c r="C14" s="9">
        <f>TabelaSalarioBase[[#This Row],[Cargo]]</f>
        <v>0</v>
      </c>
      <c r="D14" s="12"/>
      <c r="E14" s="12"/>
      <c r="F14" s="12"/>
      <c r="G14" s="12"/>
      <c r="H14" s="12"/>
      <c r="I14" s="12"/>
      <c r="J14" s="12"/>
      <c r="K14" s="11">
        <f t="shared" si="0"/>
        <v>0</v>
      </c>
    </row>
    <row r="15" spans="1:11" s="1" customFormat="1" x14ac:dyDescent="0.25">
      <c r="A15" s="8">
        <f>TabelaSalarioBase[[#This Row],[Nº]]</f>
        <v>13</v>
      </c>
      <c r="B15" s="8">
        <f>TabelaSalarioBase[[#This Row],[Nome]]</f>
        <v>0</v>
      </c>
      <c r="C15" s="9">
        <f>TabelaSalarioBase[[#This Row],[Cargo]]</f>
        <v>0</v>
      </c>
      <c r="D15" s="12"/>
      <c r="E15" s="12"/>
      <c r="F15" s="12"/>
      <c r="G15" s="12"/>
      <c r="H15" s="12"/>
      <c r="I15" s="12"/>
      <c r="J15" s="12"/>
      <c r="K15" s="11">
        <f t="shared" si="0"/>
        <v>0</v>
      </c>
    </row>
    <row r="16" spans="1:11" s="1" customFormat="1" x14ac:dyDescent="0.25">
      <c r="A16" s="8">
        <f>TabelaSalarioBase[[#This Row],[Nº]]</f>
        <v>14</v>
      </c>
      <c r="B16" s="8">
        <f>TabelaSalarioBase[[#This Row],[Nome]]</f>
        <v>0</v>
      </c>
      <c r="C16" s="9">
        <f>TabelaSalarioBase[[#This Row],[Cargo]]</f>
        <v>0</v>
      </c>
      <c r="D16" s="12"/>
      <c r="E16" s="12"/>
      <c r="F16" s="12"/>
      <c r="G16" s="12"/>
      <c r="H16" s="12"/>
      <c r="I16" s="12"/>
      <c r="J16" s="12"/>
      <c r="K16" s="11">
        <f t="shared" si="0"/>
        <v>0</v>
      </c>
    </row>
    <row r="17" spans="1:11" s="1" customFormat="1" x14ac:dyDescent="0.25">
      <c r="A17" s="8">
        <f>TabelaSalarioBase[[#This Row],[Nº]]</f>
        <v>15</v>
      </c>
      <c r="B17" s="8">
        <f>TabelaSalarioBase[[#This Row],[Nome]]</f>
        <v>0</v>
      </c>
      <c r="C17" s="9">
        <f>TabelaSalarioBase[[#This Row],[Cargo]]</f>
        <v>0</v>
      </c>
      <c r="D17" s="12"/>
      <c r="E17" s="12"/>
      <c r="F17" s="12"/>
      <c r="G17" s="12"/>
      <c r="H17" s="12"/>
      <c r="I17" s="12"/>
      <c r="J17" s="12"/>
      <c r="K17" s="11">
        <f t="shared" si="0"/>
        <v>0</v>
      </c>
    </row>
    <row r="18" spans="1:11" s="1" customFormat="1" x14ac:dyDescent="0.25">
      <c r="A18" s="8">
        <f>TabelaSalarioBase[[#This Row],[Nº]]</f>
        <v>16</v>
      </c>
      <c r="B18" s="8">
        <f>TabelaSalarioBase[[#This Row],[Nome]]</f>
        <v>0</v>
      </c>
      <c r="C18" s="9">
        <f>TabelaSalarioBase[[#This Row],[Cargo]]</f>
        <v>0</v>
      </c>
      <c r="D18" s="12"/>
      <c r="E18" s="12"/>
      <c r="F18" s="12"/>
      <c r="G18" s="12"/>
      <c r="H18" s="12"/>
      <c r="I18" s="12"/>
      <c r="J18" s="12"/>
      <c r="K18" s="11">
        <f t="shared" si="0"/>
        <v>0</v>
      </c>
    </row>
    <row r="19" spans="1:11" s="1" customFormat="1" x14ac:dyDescent="0.25">
      <c r="A19" s="8">
        <f>TabelaSalarioBase[[#This Row],[Nº]]</f>
        <v>17</v>
      </c>
      <c r="B19" s="8">
        <f>TabelaSalarioBase[[#This Row],[Nome]]</f>
        <v>0</v>
      </c>
      <c r="C19" s="9">
        <f>TabelaSalarioBase[[#This Row],[Cargo]]</f>
        <v>0</v>
      </c>
      <c r="D19" s="12"/>
      <c r="E19" s="12"/>
      <c r="F19" s="12"/>
      <c r="G19" s="12"/>
      <c r="H19" s="12"/>
      <c r="I19" s="12"/>
      <c r="J19" s="12"/>
      <c r="K19" s="11">
        <f t="shared" si="0"/>
        <v>0</v>
      </c>
    </row>
    <row r="20" spans="1:11" s="1" customFormat="1" x14ac:dyDescent="0.25">
      <c r="A20" s="8">
        <f>TabelaSalarioBase[[#This Row],[Nº]]</f>
        <v>18</v>
      </c>
      <c r="B20" s="8">
        <f>TabelaSalarioBase[[#This Row],[Nome]]</f>
        <v>0</v>
      </c>
      <c r="C20" s="9">
        <f>TabelaSalarioBase[[#This Row],[Cargo]]</f>
        <v>0</v>
      </c>
      <c r="D20" s="12"/>
      <c r="E20" s="12"/>
      <c r="F20" s="12"/>
      <c r="G20" s="12"/>
      <c r="H20" s="12"/>
      <c r="I20" s="12"/>
      <c r="J20" s="12"/>
      <c r="K20" s="11">
        <f t="shared" si="0"/>
        <v>0</v>
      </c>
    </row>
    <row r="21" spans="1:11" s="1" customFormat="1" x14ac:dyDescent="0.25">
      <c r="A21" s="8">
        <f>TabelaSalarioBase[[#This Row],[Nº]]</f>
        <v>19</v>
      </c>
      <c r="B21" s="8">
        <f>TabelaSalarioBase[[#This Row],[Nome]]</f>
        <v>0</v>
      </c>
      <c r="C21" s="9">
        <f>TabelaSalarioBase[[#This Row],[Cargo]]</f>
        <v>0</v>
      </c>
      <c r="D21" s="12"/>
      <c r="E21" s="12"/>
      <c r="F21" s="12"/>
      <c r="G21" s="12"/>
      <c r="H21" s="12"/>
      <c r="I21" s="12"/>
      <c r="J21" s="12"/>
      <c r="K21" s="11">
        <f t="shared" si="0"/>
        <v>0</v>
      </c>
    </row>
    <row r="22" spans="1:11" s="1" customFormat="1" x14ac:dyDescent="0.25">
      <c r="A22" s="8">
        <f>TabelaSalarioBase[[#This Row],[Nº]]</f>
        <v>20</v>
      </c>
      <c r="B22" s="8">
        <f>TabelaSalarioBase[[#This Row],[Nome]]</f>
        <v>0</v>
      </c>
      <c r="C22" s="9">
        <f>TabelaSalarioBase[[#This Row],[Cargo]]</f>
        <v>0</v>
      </c>
      <c r="D22" s="12"/>
      <c r="E22" s="12"/>
      <c r="F22" s="12"/>
      <c r="G22" s="12"/>
      <c r="H22" s="12"/>
      <c r="I22" s="12"/>
      <c r="J22" s="12"/>
      <c r="K22" s="11">
        <f t="shared" si="0"/>
        <v>0</v>
      </c>
    </row>
    <row r="23" spans="1:11" s="1" customFormat="1" x14ac:dyDescent="0.25">
      <c r="A23" s="8">
        <f>TabelaSalarioBase[[#This Row],[Nº]]</f>
        <v>21</v>
      </c>
      <c r="B23" s="8">
        <f>TabelaSalarioBase[[#This Row],[Nome]]</f>
        <v>0</v>
      </c>
      <c r="C23" s="9">
        <f>TabelaSalarioBase[[#This Row],[Cargo]]</f>
        <v>0</v>
      </c>
      <c r="D23" s="12"/>
      <c r="E23" s="12"/>
      <c r="F23" s="12"/>
      <c r="G23" s="12"/>
      <c r="H23" s="12"/>
      <c r="I23" s="12"/>
      <c r="J23" s="12"/>
      <c r="K23" s="11">
        <f t="shared" si="0"/>
        <v>0</v>
      </c>
    </row>
    <row r="24" spans="1:11" s="1" customFormat="1" x14ac:dyDescent="0.25">
      <c r="A24" s="8">
        <f>TabelaSalarioBase[[#This Row],[Nº]]</f>
        <v>22</v>
      </c>
      <c r="B24" s="8">
        <f>TabelaSalarioBase[[#This Row],[Nome]]</f>
        <v>0</v>
      </c>
      <c r="C24" s="9">
        <f>TabelaSalarioBase[[#This Row],[Cargo]]</f>
        <v>0</v>
      </c>
      <c r="D24" s="12"/>
      <c r="E24" s="12"/>
      <c r="F24" s="12"/>
      <c r="G24" s="12"/>
      <c r="H24" s="12"/>
      <c r="I24" s="12"/>
      <c r="J24" s="12"/>
      <c r="K24" s="11">
        <f t="shared" si="0"/>
        <v>0</v>
      </c>
    </row>
    <row r="25" spans="1:11" s="1" customFormat="1" x14ac:dyDescent="0.25">
      <c r="A25" s="8">
        <f>TabelaSalarioBase[[#This Row],[Nº]]</f>
        <v>23</v>
      </c>
      <c r="B25" s="8">
        <f>TabelaSalarioBase[[#This Row],[Nome]]</f>
        <v>0</v>
      </c>
      <c r="C25" s="9">
        <f>TabelaSalarioBase[[#This Row],[Cargo]]</f>
        <v>0</v>
      </c>
      <c r="D25" s="12"/>
      <c r="E25" s="12"/>
      <c r="F25" s="12"/>
      <c r="G25" s="12"/>
      <c r="H25" s="12"/>
      <c r="I25" s="12"/>
      <c r="J25" s="12"/>
      <c r="K25" s="11">
        <f t="shared" si="0"/>
        <v>0</v>
      </c>
    </row>
    <row r="26" spans="1:11" s="1" customFormat="1" x14ac:dyDescent="0.25">
      <c r="A26" s="8">
        <f>TabelaSalarioBase[[#This Row],[Nº]]</f>
        <v>24</v>
      </c>
      <c r="B26" s="8">
        <f>TabelaSalarioBase[[#This Row],[Nome]]</f>
        <v>0</v>
      </c>
      <c r="C26" s="9">
        <f>TabelaSalarioBase[[#This Row],[Cargo]]</f>
        <v>0</v>
      </c>
      <c r="D26" s="12"/>
      <c r="E26" s="12"/>
      <c r="F26" s="12"/>
      <c r="G26" s="12"/>
      <c r="H26" s="12"/>
      <c r="I26" s="12"/>
      <c r="J26" s="12"/>
      <c r="K26" s="11">
        <f t="shared" si="0"/>
        <v>0</v>
      </c>
    </row>
    <row r="27" spans="1:11" s="1" customFormat="1" x14ac:dyDescent="0.25">
      <c r="A27" s="8">
        <f>TabelaSalarioBase[[#This Row],[Nº]]</f>
        <v>25</v>
      </c>
      <c r="B27" s="8">
        <f>TabelaSalarioBase[[#This Row],[Nome]]</f>
        <v>0</v>
      </c>
      <c r="C27" s="9">
        <f>TabelaSalarioBase[[#This Row],[Cargo]]</f>
        <v>0</v>
      </c>
      <c r="D27" s="12"/>
      <c r="E27" s="12"/>
      <c r="F27" s="12"/>
      <c r="G27" s="12"/>
      <c r="H27" s="12"/>
      <c r="I27" s="12"/>
      <c r="J27" s="12"/>
      <c r="K27" s="11">
        <f t="shared" si="0"/>
        <v>0</v>
      </c>
    </row>
    <row r="28" spans="1:11" s="1" customFormat="1" x14ac:dyDescent="0.25">
      <c r="A28" s="8">
        <f>TabelaSalarioBase[[#This Row],[Nº]]</f>
        <v>26</v>
      </c>
      <c r="B28" s="8">
        <f>TabelaSalarioBase[[#This Row],[Nome]]</f>
        <v>0</v>
      </c>
      <c r="C28" s="9">
        <f>TabelaSalarioBase[[#This Row],[Cargo]]</f>
        <v>0</v>
      </c>
      <c r="D28" s="12"/>
      <c r="E28" s="12"/>
      <c r="F28" s="12"/>
      <c r="G28" s="12"/>
      <c r="H28" s="12"/>
      <c r="I28" s="12"/>
      <c r="J28" s="12"/>
      <c r="K28" s="11">
        <f t="shared" si="0"/>
        <v>0</v>
      </c>
    </row>
    <row r="29" spans="1:11" s="1" customFormat="1" x14ac:dyDescent="0.25">
      <c r="A29" s="8">
        <f>TabelaSalarioBase[[#This Row],[Nº]]</f>
        <v>27</v>
      </c>
      <c r="B29" s="8">
        <f>TabelaSalarioBase[[#This Row],[Nome]]</f>
        <v>0</v>
      </c>
      <c r="C29" s="9">
        <f>TabelaSalarioBase[[#This Row],[Cargo]]</f>
        <v>0</v>
      </c>
      <c r="D29" s="12"/>
      <c r="E29" s="12"/>
      <c r="F29" s="12"/>
      <c r="G29" s="12"/>
      <c r="H29" s="12"/>
      <c r="I29" s="12"/>
      <c r="J29" s="12"/>
      <c r="K29" s="11">
        <f t="shared" si="0"/>
        <v>0</v>
      </c>
    </row>
    <row r="30" spans="1:11" s="1" customFormat="1" x14ac:dyDescent="0.25">
      <c r="A30" s="8">
        <f>TabelaSalarioBase[[#This Row],[Nº]]</f>
        <v>28</v>
      </c>
      <c r="B30" s="8">
        <f>TabelaSalarioBase[[#This Row],[Nome]]</f>
        <v>0</v>
      </c>
      <c r="C30" s="9">
        <f>TabelaSalarioBase[[#This Row],[Cargo]]</f>
        <v>0</v>
      </c>
      <c r="D30" s="12"/>
      <c r="E30" s="12"/>
      <c r="F30" s="12"/>
      <c r="G30" s="12"/>
      <c r="H30" s="12"/>
      <c r="I30" s="12"/>
      <c r="J30" s="12"/>
      <c r="K30" s="11">
        <f t="shared" si="0"/>
        <v>0</v>
      </c>
    </row>
    <row r="31" spans="1:11" s="1" customFormat="1" x14ac:dyDescent="0.25">
      <c r="A31" s="8">
        <f>TabelaSalarioBase[[#This Row],[Nº]]</f>
        <v>29</v>
      </c>
      <c r="B31" s="8">
        <f>TabelaSalarioBase[[#This Row],[Nome]]</f>
        <v>0</v>
      </c>
      <c r="C31" s="9">
        <f>TabelaSalarioBase[[#This Row],[Cargo]]</f>
        <v>0</v>
      </c>
      <c r="D31" s="12"/>
      <c r="E31" s="12"/>
      <c r="F31" s="12"/>
      <c r="G31" s="12"/>
      <c r="H31" s="12"/>
      <c r="I31" s="12"/>
      <c r="J31" s="12"/>
      <c r="K31" s="11">
        <f t="shared" si="0"/>
        <v>0</v>
      </c>
    </row>
    <row r="32" spans="1:11" s="1" customFormat="1" x14ac:dyDescent="0.25">
      <c r="A32" s="8">
        <f>TabelaSalarioBase[[#This Row],[Nº]]</f>
        <v>30</v>
      </c>
      <c r="B32" s="8">
        <f>TabelaSalarioBase[[#This Row],[Nome]]</f>
        <v>0</v>
      </c>
      <c r="C32" s="9">
        <f>TabelaSalarioBase[[#This Row],[Cargo]]</f>
        <v>0</v>
      </c>
      <c r="D32" s="13"/>
      <c r="E32" s="13"/>
      <c r="F32" s="13"/>
      <c r="G32" s="13"/>
      <c r="H32" s="13"/>
      <c r="I32" s="13"/>
      <c r="J32" s="13"/>
      <c r="K32" s="14">
        <f t="shared" si="0"/>
        <v>0</v>
      </c>
    </row>
    <row r="33" spans="1:11" ht="18" x14ac:dyDescent="0.25">
      <c r="A33" s="50" t="s">
        <v>12</v>
      </c>
      <c r="B33" s="51"/>
      <c r="C33" s="51"/>
      <c r="D33" s="44">
        <f>SUM(Tabela13Salario[Novembro])</f>
        <v>0</v>
      </c>
      <c r="E33" s="44">
        <f>SUM(Tabela13Salario[Dezembro])</f>
        <v>0</v>
      </c>
      <c r="F33" s="44">
        <f>SUM(Tabela13Salario[IRPF])</f>
        <v>0</v>
      </c>
      <c r="G33" s="44">
        <f>SUM(Tabela13Salario[INSS])</f>
        <v>0</v>
      </c>
      <c r="H33" s="44">
        <f>SUM(Tabela13Salario[FGTS])</f>
        <v>0</v>
      </c>
      <c r="I33" s="44">
        <f>SUM(Tabela13Salario[INSS Patronal])</f>
        <v>0</v>
      </c>
      <c r="J33" s="44">
        <f>SUM(Tabela13Salario[PIS])</f>
        <v>0</v>
      </c>
      <c r="K33" s="22">
        <f>SUM(K3:K32)</f>
        <v>0</v>
      </c>
    </row>
  </sheetData>
  <mergeCells count="2">
    <mergeCell ref="A1:K1"/>
    <mergeCell ref="A33:C33"/>
  </mergeCells>
  <phoneticPr fontId="8" type="noConversion"/>
  <pageMargins left="0.25" right="0.25" top="0.75" bottom="0.75" header="0.3" footer="0.3"/>
  <pageSetup paperSize="9" scale="75" fitToHeight="0" orientation="landscape" verticalDpi="0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ilha9">
    <pageSetUpPr fitToPage="1"/>
  </sheetPr>
  <dimension ref="A1:K46"/>
  <sheetViews>
    <sheetView tabSelected="1" zoomScale="85" zoomScaleNormal="85" workbookViewId="0">
      <selection activeCell="F26" sqref="F26"/>
    </sheetView>
  </sheetViews>
  <sheetFormatPr defaultRowHeight="12.75" x14ac:dyDescent="0.2"/>
  <cols>
    <col min="1" max="1" width="4.28515625" style="7" bestFit="1" customWidth="1"/>
    <col min="2" max="2" width="35.7109375" style="7" customWidth="1"/>
    <col min="3" max="3" width="30.7109375" style="7" customWidth="1"/>
    <col min="4" max="10" width="21.7109375" style="2" customWidth="1"/>
    <col min="11" max="11" width="25.42578125" style="2" bestFit="1" customWidth="1"/>
    <col min="12" max="12" width="13.5703125" style="2" bestFit="1" customWidth="1"/>
    <col min="13" max="13" width="11.85546875" style="2" bestFit="1" customWidth="1"/>
    <col min="14" max="16384" width="9.140625" style="2"/>
  </cols>
  <sheetData>
    <row r="1" spans="1:11" s="1" customFormat="1" ht="50.1" customHeight="1" thickBot="1" x14ac:dyDescent="0.3">
      <c r="A1" s="47" t="s">
        <v>84</v>
      </c>
      <c r="B1" s="48"/>
      <c r="C1" s="48"/>
      <c r="D1" s="48"/>
      <c r="E1" s="48"/>
      <c r="F1" s="48"/>
      <c r="G1" s="48"/>
      <c r="H1" s="48"/>
      <c r="I1" s="48"/>
      <c r="J1" s="48"/>
      <c r="K1" s="49"/>
    </row>
    <row r="2" spans="1:11" s="1" customFormat="1" x14ac:dyDescent="0.25">
      <c r="A2" s="5" t="s">
        <v>25</v>
      </c>
      <c r="B2" s="5" t="s">
        <v>0</v>
      </c>
      <c r="C2" s="6" t="s">
        <v>1</v>
      </c>
      <c r="D2" s="3" t="s">
        <v>35</v>
      </c>
      <c r="E2" s="3" t="s">
        <v>15</v>
      </c>
      <c r="F2" s="3" t="s">
        <v>11</v>
      </c>
      <c r="G2" s="3" t="s">
        <v>3</v>
      </c>
      <c r="H2" s="3" t="s">
        <v>4</v>
      </c>
      <c r="I2" s="3" t="s">
        <v>26</v>
      </c>
      <c r="J2" s="3" t="s">
        <v>14</v>
      </c>
      <c r="K2" s="4" t="s">
        <v>2</v>
      </c>
    </row>
    <row r="3" spans="1:11" s="1" customFormat="1" x14ac:dyDescent="0.25">
      <c r="A3" s="8">
        <f>TabelaSalarioBase[[#This Row],[Nº]]</f>
        <v>1</v>
      </c>
      <c r="B3" s="8">
        <f>TabelaSalarioBase[[#This Row],[Nome]]</f>
        <v>0</v>
      </c>
      <c r="C3" s="9">
        <f>TabelaSalarioBase[[#This Row],[Cargo]]</f>
        <v>0</v>
      </c>
      <c r="D3" s="10"/>
      <c r="E3" s="10"/>
      <c r="F3" s="10"/>
      <c r="G3" s="10"/>
      <c r="H3" s="10"/>
      <c r="I3" s="10"/>
      <c r="J3" s="10"/>
      <c r="K3" s="11">
        <f>SUM(D3:J3)</f>
        <v>0</v>
      </c>
    </row>
    <row r="4" spans="1:11" s="1" customFormat="1" x14ac:dyDescent="0.25">
      <c r="A4" s="8">
        <f>TabelaSalarioBase[[#This Row],[Nº]]</f>
        <v>2</v>
      </c>
      <c r="B4" s="8">
        <f>TabelaSalarioBase[[#This Row],[Nome]]</f>
        <v>0</v>
      </c>
      <c r="C4" s="9">
        <f>TabelaSalarioBase[[#This Row],[Cargo]]</f>
        <v>0</v>
      </c>
      <c r="D4" s="12"/>
      <c r="E4" s="12"/>
      <c r="F4" s="12"/>
      <c r="G4" s="12"/>
      <c r="H4" s="12"/>
      <c r="I4" s="12"/>
      <c r="J4" s="12"/>
      <c r="K4" s="11">
        <f t="shared" ref="K4:K32" si="0">SUM(D4:J4)</f>
        <v>0</v>
      </c>
    </row>
    <row r="5" spans="1:11" s="1" customFormat="1" x14ac:dyDescent="0.25">
      <c r="A5" s="8">
        <f>TabelaSalarioBase[[#This Row],[Nº]]</f>
        <v>3</v>
      </c>
      <c r="B5" s="8">
        <f>TabelaSalarioBase[[#This Row],[Nome]]</f>
        <v>0</v>
      </c>
      <c r="C5" s="9">
        <f>TabelaSalarioBase[[#This Row],[Cargo]]</f>
        <v>0</v>
      </c>
      <c r="D5" s="12"/>
      <c r="E5" s="12"/>
      <c r="F5" s="12"/>
      <c r="G5" s="10"/>
      <c r="H5" s="10"/>
      <c r="I5" s="10"/>
      <c r="J5" s="10"/>
      <c r="K5" s="11">
        <f t="shared" si="0"/>
        <v>0</v>
      </c>
    </row>
    <row r="6" spans="1:11" s="1" customFormat="1" x14ac:dyDescent="0.25">
      <c r="A6" s="8">
        <f>TabelaSalarioBase[[#This Row],[Nº]]</f>
        <v>4</v>
      </c>
      <c r="B6" s="8">
        <f>TabelaSalarioBase[[#This Row],[Nome]]</f>
        <v>0</v>
      </c>
      <c r="C6" s="9">
        <f>TabelaSalarioBase[[#This Row],[Cargo]]</f>
        <v>0</v>
      </c>
      <c r="D6" s="12"/>
      <c r="E6" s="12"/>
      <c r="F6" s="12"/>
      <c r="G6" s="12"/>
      <c r="H6" s="12"/>
      <c r="I6" s="12"/>
      <c r="J6" s="12"/>
      <c r="K6" s="11">
        <f t="shared" si="0"/>
        <v>0</v>
      </c>
    </row>
    <row r="7" spans="1:11" s="1" customFormat="1" x14ac:dyDescent="0.25">
      <c r="A7" s="8">
        <f>TabelaSalarioBase[[#This Row],[Nº]]</f>
        <v>5</v>
      </c>
      <c r="B7" s="8">
        <f>TabelaSalarioBase[[#This Row],[Nome]]</f>
        <v>0</v>
      </c>
      <c r="C7" s="9">
        <f>TabelaSalarioBase[[#This Row],[Cargo]]</f>
        <v>0</v>
      </c>
      <c r="D7" s="12"/>
      <c r="E7" s="12"/>
      <c r="F7" s="12"/>
      <c r="G7" s="10"/>
      <c r="H7" s="10"/>
      <c r="I7" s="10"/>
      <c r="J7" s="10"/>
      <c r="K7" s="11">
        <f t="shared" si="0"/>
        <v>0</v>
      </c>
    </row>
    <row r="8" spans="1:11" s="1" customFormat="1" x14ac:dyDescent="0.25">
      <c r="A8" s="8">
        <f>TabelaSalarioBase[[#This Row],[Nº]]</f>
        <v>6</v>
      </c>
      <c r="B8" s="8">
        <f>TabelaSalarioBase[[#This Row],[Nome]]</f>
        <v>0</v>
      </c>
      <c r="C8" s="9">
        <f>TabelaSalarioBase[[#This Row],[Cargo]]</f>
        <v>0</v>
      </c>
      <c r="D8" s="12"/>
      <c r="E8" s="12"/>
      <c r="F8" s="12"/>
      <c r="G8" s="12"/>
      <c r="H8" s="12"/>
      <c r="I8" s="12"/>
      <c r="J8" s="12"/>
      <c r="K8" s="11">
        <f t="shared" si="0"/>
        <v>0</v>
      </c>
    </row>
    <row r="9" spans="1:11" s="1" customFormat="1" x14ac:dyDescent="0.25">
      <c r="A9" s="8">
        <f>TabelaSalarioBase[[#This Row],[Nº]]</f>
        <v>7</v>
      </c>
      <c r="B9" s="8">
        <f>TabelaSalarioBase[[#This Row],[Nome]]</f>
        <v>0</v>
      </c>
      <c r="C9" s="9">
        <f>TabelaSalarioBase[[#This Row],[Cargo]]</f>
        <v>0</v>
      </c>
      <c r="D9" s="12"/>
      <c r="E9" s="12"/>
      <c r="F9" s="12"/>
      <c r="G9" s="10"/>
      <c r="H9" s="10"/>
      <c r="I9" s="10"/>
      <c r="J9" s="10"/>
      <c r="K9" s="11">
        <f t="shared" si="0"/>
        <v>0</v>
      </c>
    </row>
    <row r="10" spans="1:11" s="1" customFormat="1" x14ac:dyDescent="0.25">
      <c r="A10" s="8">
        <f>TabelaSalarioBase[[#This Row],[Nº]]</f>
        <v>8</v>
      </c>
      <c r="B10" s="8">
        <f>TabelaSalarioBase[[#This Row],[Nome]]</f>
        <v>0</v>
      </c>
      <c r="C10" s="9">
        <f>TabelaSalarioBase[[#This Row],[Cargo]]</f>
        <v>0</v>
      </c>
      <c r="D10" s="12"/>
      <c r="E10" s="12"/>
      <c r="F10" s="12"/>
      <c r="G10" s="12"/>
      <c r="H10" s="12"/>
      <c r="I10" s="12"/>
      <c r="J10" s="12"/>
      <c r="K10" s="11">
        <f t="shared" si="0"/>
        <v>0</v>
      </c>
    </row>
    <row r="11" spans="1:11" s="1" customFormat="1" x14ac:dyDescent="0.25">
      <c r="A11" s="8">
        <f>TabelaSalarioBase[[#This Row],[Nº]]</f>
        <v>9</v>
      </c>
      <c r="B11" s="8">
        <f>TabelaSalarioBase[[#This Row],[Nome]]</f>
        <v>0</v>
      </c>
      <c r="C11" s="9">
        <f>TabelaSalarioBase[[#This Row],[Cargo]]</f>
        <v>0</v>
      </c>
      <c r="D11" s="12"/>
      <c r="E11" s="12"/>
      <c r="F11" s="12"/>
      <c r="G11" s="10"/>
      <c r="H11" s="10"/>
      <c r="I11" s="10"/>
      <c r="J11" s="10"/>
      <c r="K11" s="11">
        <f t="shared" si="0"/>
        <v>0</v>
      </c>
    </row>
    <row r="12" spans="1:11" s="1" customFormat="1" x14ac:dyDescent="0.25">
      <c r="A12" s="8">
        <f>TabelaSalarioBase[[#This Row],[Nº]]</f>
        <v>10</v>
      </c>
      <c r="B12" s="8">
        <f>TabelaSalarioBase[[#This Row],[Nome]]</f>
        <v>0</v>
      </c>
      <c r="C12" s="9">
        <f>TabelaSalarioBase[[#This Row],[Cargo]]</f>
        <v>0</v>
      </c>
      <c r="D12" s="12"/>
      <c r="E12" s="12"/>
      <c r="F12" s="12"/>
      <c r="G12" s="12"/>
      <c r="H12" s="12"/>
      <c r="I12" s="12"/>
      <c r="J12" s="12"/>
      <c r="K12" s="11">
        <f t="shared" si="0"/>
        <v>0</v>
      </c>
    </row>
    <row r="13" spans="1:11" s="1" customFormat="1" x14ac:dyDescent="0.25">
      <c r="A13" s="8">
        <f>TabelaSalarioBase[[#This Row],[Nº]]</f>
        <v>11</v>
      </c>
      <c r="B13" s="8">
        <f>TabelaSalarioBase[[#This Row],[Nome]]</f>
        <v>0</v>
      </c>
      <c r="C13" s="9">
        <f>TabelaSalarioBase[[#This Row],[Cargo]]</f>
        <v>0</v>
      </c>
      <c r="D13" s="12"/>
      <c r="E13" s="12"/>
      <c r="F13" s="12"/>
      <c r="G13" s="10"/>
      <c r="H13" s="10"/>
      <c r="I13" s="10"/>
      <c r="J13" s="10"/>
      <c r="K13" s="11">
        <f t="shared" si="0"/>
        <v>0</v>
      </c>
    </row>
    <row r="14" spans="1:11" s="1" customFormat="1" x14ac:dyDescent="0.25">
      <c r="A14" s="8">
        <f>TabelaSalarioBase[[#This Row],[Nº]]</f>
        <v>12</v>
      </c>
      <c r="B14" s="8">
        <f>TabelaSalarioBase[[#This Row],[Nome]]</f>
        <v>0</v>
      </c>
      <c r="C14" s="9">
        <f>TabelaSalarioBase[[#This Row],[Cargo]]</f>
        <v>0</v>
      </c>
      <c r="D14" s="12"/>
      <c r="E14" s="12"/>
      <c r="F14" s="12"/>
      <c r="G14" s="12"/>
      <c r="H14" s="12"/>
      <c r="I14" s="12"/>
      <c r="J14" s="12"/>
      <c r="K14" s="11">
        <f t="shared" si="0"/>
        <v>0</v>
      </c>
    </row>
    <row r="15" spans="1:11" s="1" customFormat="1" x14ac:dyDescent="0.25">
      <c r="A15" s="8">
        <f>TabelaSalarioBase[[#This Row],[Nº]]</f>
        <v>13</v>
      </c>
      <c r="B15" s="8">
        <f>TabelaSalarioBase[[#This Row],[Nome]]</f>
        <v>0</v>
      </c>
      <c r="C15" s="9">
        <f>TabelaSalarioBase[[#This Row],[Cargo]]</f>
        <v>0</v>
      </c>
      <c r="D15" s="12"/>
      <c r="E15" s="12"/>
      <c r="F15" s="12"/>
      <c r="G15" s="10"/>
      <c r="H15" s="12"/>
      <c r="I15" s="12"/>
      <c r="J15" s="12"/>
      <c r="K15" s="11">
        <f t="shared" si="0"/>
        <v>0</v>
      </c>
    </row>
    <row r="16" spans="1:11" s="1" customFormat="1" x14ac:dyDescent="0.25">
      <c r="A16" s="8">
        <f>TabelaSalarioBase[[#This Row],[Nº]]</f>
        <v>14</v>
      </c>
      <c r="B16" s="8">
        <f>TabelaSalarioBase[[#This Row],[Nome]]</f>
        <v>0</v>
      </c>
      <c r="C16" s="9">
        <f>TabelaSalarioBase[[#This Row],[Cargo]]</f>
        <v>0</v>
      </c>
      <c r="D16" s="12"/>
      <c r="E16" s="12"/>
      <c r="F16" s="12"/>
      <c r="G16" s="12"/>
      <c r="H16" s="12"/>
      <c r="I16" s="12"/>
      <c r="J16" s="12"/>
      <c r="K16" s="11">
        <f t="shared" si="0"/>
        <v>0</v>
      </c>
    </row>
    <row r="17" spans="1:11" s="1" customFormat="1" x14ac:dyDescent="0.25">
      <c r="A17" s="8">
        <f>TabelaSalarioBase[[#This Row],[Nº]]</f>
        <v>15</v>
      </c>
      <c r="B17" s="8">
        <f>TabelaSalarioBase[[#This Row],[Nome]]</f>
        <v>0</v>
      </c>
      <c r="C17" s="9">
        <f>TabelaSalarioBase[[#This Row],[Cargo]]</f>
        <v>0</v>
      </c>
      <c r="D17" s="12"/>
      <c r="E17" s="12"/>
      <c r="F17" s="12"/>
      <c r="G17" s="10"/>
      <c r="H17" s="12"/>
      <c r="I17" s="12"/>
      <c r="J17" s="12"/>
      <c r="K17" s="11">
        <f t="shared" si="0"/>
        <v>0</v>
      </c>
    </row>
    <row r="18" spans="1:11" s="1" customFormat="1" x14ac:dyDescent="0.25">
      <c r="A18" s="8">
        <f>TabelaSalarioBase[[#This Row],[Nº]]</f>
        <v>16</v>
      </c>
      <c r="B18" s="8">
        <f>TabelaSalarioBase[[#This Row],[Nome]]</f>
        <v>0</v>
      </c>
      <c r="C18" s="9">
        <f>TabelaSalarioBase[[#This Row],[Cargo]]</f>
        <v>0</v>
      </c>
      <c r="D18" s="12"/>
      <c r="E18" s="12"/>
      <c r="F18" s="12"/>
      <c r="G18" s="12"/>
      <c r="H18" s="12"/>
      <c r="I18" s="12"/>
      <c r="J18" s="12"/>
      <c r="K18" s="11">
        <f t="shared" si="0"/>
        <v>0</v>
      </c>
    </row>
    <row r="19" spans="1:11" s="1" customFormat="1" x14ac:dyDescent="0.25">
      <c r="A19" s="8">
        <f>TabelaSalarioBase[[#This Row],[Nº]]</f>
        <v>17</v>
      </c>
      <c r="B19" s="8">
        <f>TabelaSalarioBase[[#This Row],[Nome]]</f>
        <v>0</v>
      </c>
      <c r="C19" s="9">
        <f>TabelaSalarioBase[[#This Row],[Cargo]]</f>
        <v>0</v>
      </c>
      <c r="D19" s="12"/>
      <c r="E19" s="12"/>
      <c r="F19" s="12"/>
      <c r="G19" s="10"/>
      <c r="H19" s="12"/>
      <c r="I19" s="12"/>
      <c r="J19" s="12"/>
      <c r="K19" s="11">
        <f t="shared" si="0"/>
        <v>0</v>
      </c>
    </row>
    <row r="20" spans="1:11" s="1" customFormat="1" x14ac:dyDescent="0.25">
      <c r="A20" s="8">
        <f>TabelaSalarioBase[[#This Row],[Nº]]</f>
        <v>18</v>
      </c>
      <c r="B20" s="8">
        <f>TabelaSalarioBase[[#This Row],[Nome]]</f>
        <v>0</v>
      </c>
      <c r="C20" s="9">
        <f>TabelaSalarioBase[[#This Row],[Cargo]]</f>
        <v>0</v>
      </c>
      <c r="D20" s="12"/>
      <c r="E20" s="12"/>
      <c r="F20" s="12"/>
      <c r="G20" s="12"/>
      <c r="H20" s="12"/>
      <c r="I20" s="12"/>
      <c r="J20" s="12"/>
      <c r="K20" s="11">
        <f t="shared" si="0"/>
        <v>0</v>
      </c>
    </row>
    <row r="21" spans="1:11" s="1" customFormat="1" x14ac:dyDescent="0.25">
      <c r="A21" s="8">
        <f>TabelaSalarioBase[[#This Row],[Nº]]</f>
        <v>19</v>
      </c>
      <c r="B21" s="8">
        <f>TabelaSalarioBase[[#This Row],[Nome]]</f>
        <v>0</v>
      </c>
      <c r="C21" s="9">
        <f>TabelaSalarioBase[[#This Row],[Cargo]]</f>
        <v>0</v>
      </c>
      <c r="D21" s="12"/>
      <c r="E21" s="12"/>
      <c r="F21" s="12"/>
      <c r="G21" s="10"/>
      <c r="H21" s="12"/>
      <c r="I21" s="12"/>
      <c r="J21" s="12"/>
      <c r="K21" s="11">
        <f t="shared" si="0"/>
        <v>0</v>
      </c>
    </row>
    <row r="22" spans="1:11" s="1" customFormat="1" x14ac:dyDescent="0.25">
      <c r="A22" s="8">
        <f>TabelaSalarioBase[[#This Row],[Nº]]</f>
        <v>20</v>
      </c>
      <c r="B22" s="8">
        <f>TabelaSalarioBase[[#This Row],[Nome]]</f>
        <v>0</v>
      </c>
      <c r="C22" s="9">
        <f>TabelaSalarioBase[[#This Row],[Cargo]]</f>
        <v>0</v>
      </c>
      <c r="D22" s="12"/>
      <c r="E22" s="12"/>
      <c r="F22" s="12"/>
      <c r="G22" s="12"/>
      <c r="H22" s="12"/>
      <c r="I22" s="12"/>
      <c r="J22" s="12"/>
      <c r="K22" s="11">
        <f t="shared" si="0"/>
        <v>0</v>
      </c>
    </row>
    <row r="23" spans="1:11" s="1" customFormat="1" x14ac:dyDescent="0.25">
      <c r="A23" s="8">
        <f>TabelaSalarioBase[[#This Row],[Nº]]</f>
        <v>21</v>
      </c>
      <c r="B23" s="8">
        <f>TabelaSalarioBase[[#This Row],[Nome]]</f>
        <v>0</v>
      </c>
      <c r="C23" s="9">
        <f>TabelaSalarioBase[[#This Row],[Cargo]]</f>
        <v>0</v>
      </c>
      <c r="D23" s="12"/>
      <c r="E23" s="12"/>
      <c r="F23" s="12"/>
      <c r="G23" s="10"/>
      <c r="H23" s="12"/>
      <c r="I23" s="12"/>
      <c r="J23" s="12"/>
      <c r="K23" s="11">
        <f t="shared" si="0"/>
        <v>0</v>
      </c>
    </row>
    <row r="24" spans="1:11" s="1" customFormat="1" x14ac:dyDescent="0.25">
      <c r="A24" s="8">
        <f>TabelaSalarioBase[[#This Row],[Nº]]</f>
        <v>22</v>
      </c>
      <c r="B24" s="8">
        <f>TabelaSalarioBase[[#This Row],[Nome]]</f>
        <v>0</v>
      </c>
      <c r="C24" s="9">
        <f>TabelaSalarioBase[[#This Row],[Cargo]]</f>
        <v>0</v>
      </c>
      <c r="D24" s="12"/>
      <c r="E24" s="12"/>
      <c r="F24" s="12"/>
      <c r="G24" s="12"/>
      <c r="H24" s="12"/>
      <c r="I24" s="12"/>
      <c r="J24" s="12"/>
      <c r="K24" s="11">
        <f t="shared" si="0"/>
        <v>0</v>
      </c>
    </row>
    <row r="25" spans="1:11" s="1" customFormat="1" x14ac:dyDescent="0.25">
      <c r="A25" s="8">
        <f>TabelaSalarioBase[[#This Row],[Nº]]</f>
        <v>23</v>
      </c>
      <c r="B25" s="8">
        <f>TabelaSalarioBase[[#This Row],[Nome]]</f>
        <v>0</v>
      </c>
      <c r="C25" s="9">
        <f>TabelaSalarioBase[[#This Row],[Cargo]]</f>
        <v>0</v>
      </c>
      <c r="D25" s="12"/>
      <c r="E25" s="12"/>
      <c r="F25" s="12"/>
      <c r="G25" s="10"/>
      <c r="H25" s="12"/>
      <c r="I25" s="12"/>
      <c r="J25" s="12"/>
      <c r="K25" s="11">
        <f t="shared" si="0"/>
        <v>0</v>
      </c>
    </row>
    <row r="26" spans="1:11" s="1" customFormat="1" x14ac:dyDescent="0.25">
      <c r="A26" s="8">
        <f>TabelaSalarioBase[[#This Row],[Nº]]</f>
        <v>24</v>
      </c>
      <c r="B26" s="8">
        <f>TabelaSalarioBase[[#This Row],[Nome]]</f>
        <v>0</v>
      </c>
      <c r="C26" s="9">
        <f>TabelaSalarioBase[[#This Row],[Cargo]]</f>
        <v>0</v>
      </c>
      <c r="D26" s="12"/>
      <c r="E26" s="12"/>
      <c r="F26" s="12"/>
      <c r="G26" s="12"/>
      <c r="H26" s="12"/>
      <c r="I26" s="12"/>
      <c r="J26" s="12"/>
      <c r="K26" s="11">
        <f t="shared" si="0"/>
        <v>0</v>
      </c>
    </row>
    <row r="27" spans="1:11" s="1" customFormat="1" x14ac:dyDescent="0.25">
      <c r="A27" s="8">
        <f>TabelaSalarioBase[[#This Row],[Nº]]</f>
        <v>25</v>
      </c>
      <c r="B27" s="8">
        <f>TabelaSalarioBase[[#This Row],[Nome]]</f>
        <v>0</v>
      </c>
      <c r="C27" s="9">
        <f>TabelaSalarioBase[[#This Row],[Cargo]]</f>
        <v>0</v>
      </c>
      <c r="D27" s="12"/>
      <c r="E27" s="12"/>
      <c r="F27" s="12"/>
      <c r="G27" s="10"/>
      <c r="H27" s="12"/>
      <c r="I27" s="12"/>
      <c r="J27" s="12"/>
      <c r="K27" s="11">
        <f t="shared" si="0"/>
        <v>0</v>
      </c>
    </row>
    <row r="28" spans="1:11" s="1" customFormat="1" x14ac:dyDescent="0.25">
      <c r="A28" s="8">
        <f>TabelaSalarioBase[[#This Row],[Nº]]</f>
        <v>26</v>
      </c>
      <c r="B28" s="8">
        <f>TabelaSalarioBase[[#This Row],[Nome]]</f>
        <v>0</v>
      </c>
      <c r="C28" s="9">
        <f>TabelaSalarioBase[[#This Row],[Cargo]]</f>
        <v>0</v>
      </c>
      <c r="D28" s="12"/>
      <c r="E28" s="12"/>
      <c r="F28" s="12"/>
      <c r="G28" s="12"/>
      <c r="H28" s="12"/>
      <c r="I28" s="12"/>
      <c r="J28" s="12"/>
      <c r="K28" s="11">
        <f t="shared" si="0"/>
        <v>0</v>
      </c>
    </row>
    <row r="29" spans="1:11" s="1" customFormat="1" x14ac:dyDescent="0.25">
      <c r="A29" s="8">
        <f>TabelaSalarioBase[[#This Row],[Nº]]</f>
        <v>27</v>
      </c>
      <c r="B29" s="8">
        <f>TabelaSalarioBase[[#This Row],[Nome]]</f>
        <v>0</v>
      </c>
      <c r="C29" s="9">
        <f>TabelaSalarioBase[[#This Row],[Cargo]]</f>
        <v>0</v>
      </c>
      <c r="D29" s="12"/>
      <c r="E29" s="12"/>
      <c r="F29" s="12"/>
      <c r="G29" s="10"/>
      <c r="H29" s="12"/>
      <c r="I29" s="12"/>
      <c r="J29" s="12"/>
      <c r="K29" s="11">
        <f t="shared" si="0"/>
        <v>0</v>
      </c>
    </row>
    <row r="30" spans="1:11" s="1" customFormat="1" x14ac:dyDescent="0.25">
      <c r="A30" s="8">
        <f>TabelaSalarioBase[[#This Row],[Nº]]</f>
        <v>28</v>
      </c>
      <c r="B30" s="8">
        <f>TabelaSalarioBase[[#This Row],[Nome]]</f>
        <v>0</v>
      </c>
      <c r="C30" s="9">
        <f>TabelaSalarioBase[[#This Row],[Cargo]]</f>
        <v>0</v>
      </c>
      <c r="D30" s="12"/>
      <c r="E30" s="12"/>
      <c r="F30" s="12"/>
      <c r="G30" s="12"/>
      <c r="H30" s="12"/>
      <c r="I30" s="12"/>
      <c r="J30" s="12"/>
      <c r="K30" s="11">
        <f t="shared" si="0"/>
        <v>0</v>
      </c>
    </row>
    <row r="31" spans="1:11" s="1" customFormat="1" x14ac:dyDescent="0.25">
      <c r="A31" s="8">
        <f>TabelaSalarioBase[[#This Row],[Nº]]</f>
        <v>29</v>
      </c>
      <c r="B31" s="8">
        <f>TabelaSalarioBase[[#This Row],[Nome]]</f>
        <v>0</v>
      </c>
      <c r="C31" s="9">
        <f>TabelaSalarioBase[[#This Row],[Cargo]]</f>
        <v>0</v>
      </c>
      <c r="D31" s="12"/>
      <c r="E31" s="12"/>
      <c r="F31" s="12"/>
      <c r="G31" s="10"/>
      <c r="H31" s="12"/>
      <c r="I31" s="12"/>
      <c r="J31" s="12"/>
      <c r="K31" s="11">
        <f t="shared" si="0"/>
        <v>0</v>
      </c>
    </row>
    <row r="32" spans="1:11" s="1" customFormat="1" x14ac:dyDescent="0.25">
      <c r="A32" s="8">
        <f>TabelaSalarioBase[[#This Row],[Nº]]</f>
        <v>30</v>
      </c>
      <c r="B32" s="8">
        <f>TabelaSalarioBase[[#This Row],[Nome]]</f>
        <v>0</v>
      </c>
      <c r="C32" s="9">
        <f>TabelaSalarioBase[[#This Row],[Cargo]]</f>
        <v>0</v>
      </c>
      <c r="D32" s="13"/>
      <c r="E32" s="13"/>
      <c r="F32" s="12"/>
      <c r="G32" s="12"/>
      <c r="H32" s="13"/>
      <c r="I32" s="13"/>
      <c r="J32" s="13"/>
      <c r="K32" s="14">
        <f t="shared" si="0"/>
        <v>0</v>
      </c>
    </row>
    <row r="33" spans="1:11" ht="18" x14ac:dyDescent="0.25">
      <c r="A33" s="45" t="s">
        <v>12</v>
      </c>
      <c r="B33" s="46"/>
      <c r="C33" s="46"/>
      <c r="D33" s="44">
        <f>SUM(TabelaFERIAS[1/3 Férias])</f>
        <v>0</v>
      </c>
      <c r="E33" s="44"/>
      <c r="F33" s="44">
        <f>SUM(TabelaFERIAS[IRPF])</f>
        <v>0</v>
      </c>
      <c r="G33" s="44">
        <f>SUM(TabelaFERIAS[INSS])</f>
        <v>0</v>
      </c>
      <c r="H33" s="44">
        <f>SUM(TabelaFERIAS[FGTS])</f>
        <v>0</v>
      </c>
      <c r="I33" s="44">
        <f>SUM(TabelaFERIAS[INSS Patronal])</f>
        <v>0</v>
      </c>
      <c r="J33" s="44">
        <f>SUM(TabelaFERIAS[PIS])</f>
        <v>0</v>
      </c>
      <c r="K33" s="22">
        <f>SUM(K3:K32)</f>
        <v>0</v>
      </c>
    </row>
    <row r="37" spans="1:11" x14ac:dyDescent="0.2">
      <c r="C37" s="2"/>
    </row>
    <row r="38" spans="1:11" ht="20.100000000000001" customHeight="1" x14ac:dyDescent="0.2">
      <c r="C38" s="2"/>
    </row>
    <row r="39" spans="1:11" x14ac:dyDescent="0.2">
      <c r="B39" s="2"/>
      <c r="C39" s="2"/>
    </row>
    <row r="40" spans="1:11" x14ac:dyDescent="0.2">
      <c r="B40" s="2"/>
      <c r="C40" s="2"/>
    </row>
    <row r="41" spans="1:11" x14ac:dyDescent="0.2">
      <c r="B41" s="2"/>
      <c r="C41" s="2"/>
    </row>
    <row r="42" spans="1:11" x14ac:dyDescent="0.2">
      <c r="B42" s="2"/>
      <c r="C42" s="2"/>
    </row>
    <row r="43" spans="1:11" x14ac:dyDescent="0.2">
      <c r="C43" s="2"/>
    </row>
    <row r="44" spans="1:11" x14ac:dyDescent="0.2">
      <c r="C44" s="2"/>
    </row>
    <row r="45" spans="1:11" x14ac:dyDescent="0.2">
      <c r="C45" s="2"/>
    </row>
    <row r="46" spans="1:11" x14ac:dyDescent="0.2">
      <c r="C46" s="2"/>
    </row>
  </sheetData>
  <mergeCells count="1">
    <mergeCell ref="A1:K1"/>
  </mergeCells>
  <dataValidations count="1">
    <dataValidation type="list" allowBlank="1" showInputMessage="1" showErrorMessage="1" sqref="E3:E32" xr:uid="{00000000-0002-0000-0800-000000000000}">
      <formula1>"Janeiro,Fevereiro,Março,Abril,Maio,Junho,Julho,Agosto,Setembro,Outubro,Novembro,Dezembro"</formula1>
    </dataValidation>
  </dataValidations>
  <pageMargins left="0.25" right="0.25" top="0.75" bottom="0.75" header="0.3" footer="0.3"/>
  <pageSetup paperSize="9" scale="57" fitToHeight="0" orientation="landscape" verticalDpi="0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lanilha10">
    <pageSetUpPr fitToPage="1"/>
  </sheetPr>
  <dimension ref="A1:P33"/>
  <sheetViews>
    <sheetView zoomScale="80" zoomScaleNormal="80" workbookViewId="0">
      <selection activeCell="K33" sqref="K33"/>
    </sheetView>
  </sheetViews>
  <sheetFormatPr defaultRowHeight="12.75" x14ac:dyDescent="0.2"/>
  <cols>
    <col min="1" max="1" width="3" style="7" bestFit="1" customWidth="1"/>
    <col min="2" max="2" width="19.7109375" style="7" bestFit="1" customWidth="1"/>
    <col min="3" max="3" width="23.140625" style="7" customWidth="1"/>
    <col min="4" max="15" width="14.28515625" style="2" bestFit="1" customWidth="1"/>
    <col min="16" max="16" width="21.42578125" style="2" bestFit="1" customWidth="1"/>
    <col min="17" max="16384" width="9.140625" style="2"/>
  </cols>
  <sheetData>
    <row r="1" spans="1:16" ht="50.1" customHeight="1" thickBot="1" x14ac:dyDescent="0.25">
      <c r="A1" s="47" t="s">
        <v>85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9"/>
    </row>
    <row r="2" spans="1:16" x14ac:dyDescent="0.2">
      <c r="A2" s="5" t="s">
        <v>25</v>
      </c>
      <c r="B2" s="5" t="s">
        <v>0</v>
      </c>
      <c r="C2" s="6" t="s">
        <v>1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24</v>
      </c>
      <c r="I2" s="3" t="s">
        <v>20</v>
      </c>
      <c r="J2" s="3" t="s">
        <v>21</v>
      </c>
      <c r="K2" s="3" t="s">
        <v>22</v>
      </c>
      <c r="L2" s="3" t="s">
        <v>29</v>
      </c>
      <c r="M2" s="3" t="s">
        <v>23</v>
      </c>
      <c r="N2" s="3" t="s">
        <v>27</v>
      </c>
      <c r="O2" s="3" t="s">
        <v>28</v>
      </c>
      <c r="P2" s="4" t="s">
        <v>2</v>
      </c>
    </row>
    <row r="3" spans="1:16" x14ac:dyDescent="0.2">
      <c r="A3" s="8">
        <f>TabelaSalarioBase[[#This Row],[Nº]]</f>
        <v>1</v>
      </c>
      <c r="B3" s="8">
        <f>TabelaSalarioBase[[#This Row],[Nome]]</f>
        <v>0</v>
      </c>
      <c r="C3" s="9">
        <f>TabelaSalarioBase[[#This Row],[Cargo]]</f>
        <v>0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>
        <f>SUM(D3:O3)</f>
        <v>0</v>
      </c>
    </row>
    <row r="4" spans="1:16" x14ac:dyDescent="0.2">
      <c r="A4" s="8">
        <f>TabelaSalarioBase[[#This Row],[Nº]]</f>
        <v>2</v>
      </c>
      <c r="B4" s="8">
        <f>TabelaSalarioBase[[#This Row],[Nome]]</f>
        <v>0</v>
      </c>
      <c r="C4" s="9">
        <f>TabelaSalarioBase[[#This Row],[Cargo]]</f>
        <v>0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1">
        <f t="shared" ref="P4:P32" si="0">SUM(D4:O4)</f>
        <v>0</v>
      </c>
    </row>
    <row r="5" spans="1:16" x14ac:dyDescent="0.2">
      <c r="A5" s="8">
        <f>TabelaSalarioBase[[#This Row],[Nº]]</f>
        <v>3</v>
      </c>
      <c r="B5" s="8">
        <f>TabelaSalarioBase[[#This Row],[Nome]]</f>
        <v>0</v>
      </c>
      <c r="C5" s="9">
        <f>TabelaSalarioBase[[#This Row],[Cargo]]</f>
        <v>0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1">
        <f t="shared" si="0"/>
        <v>0</v>
      </c>
    </row>
    <row r="6" spans="1:16" x14ac:dyDescent="0.2">
      <c r="A6" s="8">
        <f>TabelaSalarioBase[[#This Row],[Nº]]</f>
        <v>4</v>
      </c>
      <c r="B6" s="8">
        <f>TabelaSalarioBase[[#This Row],[Nome]]</f>
        <v>0</v>
      </c>
      <c r="C6" s="9">
        <f>TabelaSalarioBase[[#This Row],[Cargo]]</f>
        <v>0</v>
      </c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1">
        <f t="shared" si="0"/>
        <v>0</v>
      </c>
    </row>
    <row r="7" spans="1:16" x14ac:dyDescent="0.2">
      <c r="A7" s="8">
        <f>TabelaSalarioBase[[#This Row],[Nº]]</f>
        <v>5</v>
      </c>
      <c r="B7" s="8">
        <f>TabelaSalarioBase[[#This Row],[Nome]]</f>
        <v>0</v>
      </c>
      <c r="C7" s="9">
        <f>TabelaSalarioBase[[#This Row],[Cargo]]</f>
        <v>0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1">
        <f t="shared" si="0"/>
        <v>0</v>
      </c>
    </row>
    <row r="8" spans="1:16" x14ac:dyDescent="0.2">
      <c r="A8" s="8">
        <f>TabelaSalarioBase[[#This Row],[Nº]]</f>
        <v>6</v>
      </c>
      <c r="B8" s="8">
        <f>TabelaSalarioBase[[#This Row],[Nome]]</f>
        <v>0</v>
      </c>
      <c r="C8" s="9">
        <f>TabelaSalarioBase[[#This Row],[Cargo]]</f>
        <v>0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1">
        <f t="shared" si="0"/>
        <v>0</v>
      </c>
    </row>
    <row r="9" spans="1:16" x14ac:dyDescent="0.2">
      <c r="A9" s="8">
        <f>TabelaSalarioBase[[#This Row],[Nº]]</f>
        <v>7</v>
      </c>
      <c r="B9" s="8">
        <f>TabelaSalarioBase[[#This Row],[Nome]]</f>
        <v>0</v>
      </c>
      <c r="C9" s="9">
        <f>TabelaSalarioBase[[#This Row],[Cargo]]</f>
        <v>0</v>
      </c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1">
        <f t="shared" si="0"/>
        <v>0</v>
      </c>
    </row>
    <row r="10" spans="1:16" x14ac:dyDescent="0.2">
      <c r="A10" s="8">
        <f>TabelaSalarioBase[[#This Row],[Nº]]</f>
        <v>8</v>
      </c>
      <c r="B10" s="8">
        <f>TabelaSalarioBase[[#This Row],[Nome]]</f>
        <v>0</v>
      </c>
      <c r="C10" s="9">
        <f>TabelaSalarioBase[[#This Row],[Cargo]]</f>
        <v>0</v>
      </c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1">
        <f t="shared" si="0"/>
        <v>0</v>
      </c>
    </row>
    <row r="11" spans="1:16" x14ac:dyDescent="0.2">
      <c r="A11" s="8">
        <f>TabelaSalarioBase[[#This Row],[Nº]]</f>
        <v>9</v>
      </c>
      <c r="B11" s="8">
        <f>TabelaSalarioBase[[#This Row],[Nome]]</f>
        <v>0</v>
      </c>
      <c r="C11" s="9">
        <f>TabelaSalarioBase[[#This Row],[Cargo]]</f>
        <v>0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1">
        <f t="shared" si="0"/>
        <v>0</v>
      </c>
    </row>
    <row r="12" spans="1:16" x14ac:dyDescent="0.2">
      <c r="A12" s="8">
        <f>TabelaSalarioBase[[#This Row],[Nº]]</f>
        <v>10</v>
      </c>
      <c r="B12" s="8">
        <f>TabelaSalarioBase[[#This Row],[Nome]]</f>
        <v>0</v>
      </c>
      <c r="C12" s="9">
        <f>TabelaSalarioBase[[#This Row],[Cargo]]</f>
        <v>0</v>
      </c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1">
        <f t="shared" si="0"/>
        <v>0</v>
      </c>
    </row>
    <row r="13" spans="1:16" x14ac:dyDescent="0.2">
      <c r="A13" s="8">
        <f>TabelaSalarioBase[[#This Row],[Nº]]</f>
        <v>11</v>
      </c>
      <c r="B13" s="8">
        <f>TabelaSalarioBase[[#This Row],[Nome]]</f>
        <v>0</v>
      </c>
      <c r="C13" s="9">
        <f>TabelaSalarioBase[[#This Row],[Cargo]]</f>
        <v>0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1">
        <f t="shared" si="0"/>
        <v>0</v>
      </c>
    </row>
    <row r="14" spans="1:16" x14ac:dyDescent="0.2">
      <c r="A14" s="8">
        <f>TabelaSalarioBase[[#This Row],[Nº]]</f>
        <v>12</v>
      </c>
      <c r="B14" s="8">
        <f>TabelaSalarioBase[[#This Row],[Nome]]</f>
        <v>0</v>
      </c>
      <c r="C14" s="9">
        <f>TabelaSalarioBase[[#This Row],[Cargo]]</f>
        <v>0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1">
        <f t="shared" si="0"/>
        <v>0</v>
      </c>
    </row>
    <row r="15" spans="1:16" x14ac:dyDescent="0.2">
      <c r="A15" s="8">
        <f>TabelaSalarioBase[[#This Row],[Nº]]</f>
        <v>13</v>
      </c>
      <c r="B15" s="8">
        <f>TabelaSalarioBase[[#This Row],[Nome]]</f>
        <v>0</v>
      </c>
      <c r="C15" s="9">
        <f>TabelaSalarioBase[[#This Row],[Cargo]]</f>
        <v>0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1">
        <f t="shared" si="0"/>
        <v>0</v>
      </c>
    </row>
    <row r="16" spans="1:16" x14ac:dyDescent="0.2">
      <c r="A16" s="8">
        <f>TabelaSalarioBase[[#This Row],[Nº]]</f>
        <v>14</v>
      </c>
      <c r="B16" s="8">
        <f>TabelaSalarioBase[[#This Row],[Nome]]</f>
        <v>0</v>
      </c>
      <c r="C16" s="9">
        <f>TabelaSalarioBase[[#This Row],[Cargo]]</f>
        <v>0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1">
        <f t="shared" si="0"/>
        <v>0</v>
      </c>
    </row>
    <row r="17" spans="1:16" x14ac:dyDescent="0.2">
      <c r="A17" s="8">
        <f>TabelaSalarioBase[[#This Row],[Nº]]</f>
        <v>15</v>
      </c>
      <c r="B17" s="8">
        <f>TabelaSalarioBase[[#This Row],[Nome]]</f>
        <v>0</v>
      </c>
      <c r="C17" s="9">
        <f>TabelaSalarioBase[[#This Row],[Cargo]]</f>
        <v>0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1">
        <f>SUM(D17:O17)</f>
        <v>0</v>
      </c>
    </row>
    <row r="18" spans="1:16" x14ac:dyDescent="0.2">
      <c r="A18" s="8">
        <f>TabelaSalarioBase[[#This Row],[Nº]]</f>
        <v>16</v>
      </c>
      <c r="B18" s="8">
        <f>TabelaSalarioBase[[#This Row],[Nome]]</f>
        <v>0</v>
      </c>
      <c r="C18" s="9">
        <f>TabelaSalarioBase[[#This Row],[Cargo]]</f>
        <v>0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1">
        <f t="shared" si="0"/>
        <v>0</v>
      </c>
    </row>
    <row r="19" spans="1:16" x14ac:dyDescent="0.2">
      <c r="A19" s="8">
        <f>TabelaSalarioBase[[#This Row],[Nº]]</f>
        <v>17</v>
      </c>
      <c r="B19" s="8">
        <f>TabelaSalarioBase[[#This Row],[Nome]]</f>
        <v>0</v>
      </c>
      <c r="C19" s="9">
        <f>TabelaSalarioBase[[#This Row],[Cargo]]</f>
        <v>0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1">
        <f t="shared" si="0"/>
        <v>0</v>
      </c>
    </row>
    <row r="20" spans="1:16" x14ac:dyDescent="0.2">
      <c r="A20" s="8">
        <f>TabelaSalarioBase[[#This Row],[Nº]]</f>
        <v>18</v>
      </c>
      <c r="B20" s="8">
        <f>TabelaSalarioBase[[#This Row],[Nome]]</f>
        <v>0</v>
      </c>
      <c r="C20" s="9">
        <f>TabelaSalarioBase[[#This Row],[Cargo]]</f>
        <v>0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1">
        <f t="shared" si="0"/>
        <v>0</v>
      </c>
    </row>
    <row r="21" spans="1:16" x14ac:dyDescent="0.2">
      <c r="A21" s="8">
        <f>TabelaSalarioBase[[#This Row],[Nº]]</f>
        <v>19</v>
      </c>
      <c r="B21" s="8">
        <f>TabelaSalarioBase[[#This Row],[Nome]]</f>
        <v>0</v>
      </c>
      <c r="C21" s="9">
        <f>TabelaSalarioBase[[#This Row],[Cargo]]</f>
        <v>0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1">
        <f>SUM(D21:O21)</f>
        <v>0</v>
      </c>
    </row>
    <row r="22" spans="1:16" x14ac:dyDescent="0.2">
      <c r="A22" s="8">
        <f>TabelaSalarioBase[[#This Row],[Nº]]</f>
        <v>20</v>
      </c>
      <c r="B22" s="8">
        <f>TabelaSalarioBase[[#This Row],[Nome]]</f>
        <v>0</v>
      </c>
      <c r="C22" s="9">
        <f>TabelaSalarioBase[[#This Row],[Cargo]]</f>
        <v>0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1">
        <f t="shared" si="0"/>
        <v>0</v>
      </c>
    </row>
    <row r="23" spans="1:16" x14ac:dyDescent="0.2">
      <c r="A23" s="8">
        <f>TabelaSalarioBase[[#This Row],[Nº]]</f>
        <v>21</v>
      </c>
      <c r="B23" s="8">
        <f>TabelaSalarioBase[[#This Row],[Nome]]</f>
        <v>0</v>
      </c>
      <c r="C23" s="9">
        <f>TabelaSalarioBase[[#This Row],[Cargo]]</f>
        <v>0</v>
      </c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1">
        <f t="shared" si="0"/>
        <v>0</v>
      </c>
    </row>
    <row r="24" spans="1:16" x14ac:dyDescent="0.2">
      <c r="A24" s="8">
        <f>TabelaSalarioBase[[#This Row],[Nº]]</f>
        <v>22</v>
      </c>
      <c r="B24" s="8">
        <f>TabelaSalarioBase[[#This Row],[Nome]]</f>
        <v>0</v>
      </c>
      <c r="C24" s="9">
        <f>TabelaSalarioBase[[#This Row],[Cargo]]</f>
        <v>0</v>
      </c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1">
        <f t="shared" si="0"/>
        <v>0</v>
      </c>
    </row>
    <row r="25" spans="1:16" x14ac:dyDescent="0.2">
      <c r="A25" s="8">
        <f>TabelaSalarioBase[[#This Row],[Nº]]</f>
        <v>23</v>
      </c>
      <c r="B25" s="8">
        <f>TabelaSalarioBase[[#This Row],[Nome]]</f>
        <v>0</v>
      </c>
      <c r="C25" s="9">
        <f>TabelaSalarioBase[[#This Row],[Cargo]]</f>
        <v>0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1">
        <f t="shared" si="0"/>
        <v>0</v>
      </c>
    </row>
    <row r="26" spans="1:16" x14ac:dyDescent="0.2">
      <c r="A26" s="8">
        <f>TabelaSalarioBase[[#This Row],[Nº]]</f>
        <v>24</v>
      </c>
      <c r="B26" s="8">
        <f>TabelaSalarioBase[[#This Row],[Nome]]</f>
        <v>0</v>
      </c>
      <c r="C26" s="9">
        <f>TabelaSalarioBase[[#This Row],[Cargo]]</f>
        <v>0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1">
        <f t="shared" si="0"/>
        <v>0</v>
      </c>
    </row>
    <row r="27" spans="1:16" x14ac:dyDescent="0.2">
      <c r="A27" s="8">
        <f>TabelaSalarioBase[[#This Row],[Nº]]</f>
        <v>25</v>
      </c>
      <c r="B27" s="8">
        <f>TabelaSalarioBase[[#This Row],[Nome]]</f>
        <v>0</v>
      </c>
      <c r="C27" s="9">
        <f>TabelaSalarioBase[[#This Row],[Cargo]]</f>
        <v>0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1">
        <f t="shared" si="0"/>
        <v>0</v>
      </c>
    </row>
    <row r="28" spans="1:16" x14ac:dyDescent="0.2">
      <c r="A28" s="8">
        <f>TabelaSalarioBase[[#This Row],[Nº]]</f>
        <v>26</v>
      </c>
      <c r="B28" s="8">
        <f>TabelaSalarioBase[[#This Row],[Nome]]</f>
        <v>0</v>
      </c>
      <c r="C28" s="9">
        <f>TabelaSalarioBase[[#This Row],[Cargo]]</f>
        <v>0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1">
        <f t="shared" si="0"/>
        <v>0</v>
      </c>
    </row>
    <row r="29" spans="1:16" x14ac:dyDescent="0.2">
      <c r="A29" s="8">
        <f>TabelaSalarioBase[[#This Row],[Nº]]</f>
        <v>27</v>
      </c>
      <c r="B29" s="8">
        <f>TabelaSalarioBase[[#This Row],[Nome]]</f>
        <v>0</v>
      </c>
      <c r="C29" s="9">
        <f>TabelaSalarioBase[[#This Row],[Cargo]]</f>
        <v>0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1">
        <f t="shared" si="0"/>
        <v>0</v>
      </c>
    </row>
    <row r="30" spans="1:16" x14ac:dyDescent="0.2">
      <c r="A30" s="8">
        <f>TabelaSalarioBase[[#This Row],[Nº]]</f>
        <v>28</v>
      </c>
      <c r="B30" s="8">
        <f>TabelaSalarioBase[[#This Row],[Nome]]</f>
        <v>0</v>
      </c>
      <c r="C30" s="9">
        <f>TabelaSalarioBase[[#This Row],[Cargo]]</f>
        <v>0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1">
        <f>SUM(D30:O30)</f>
        <v>0</v>
      </c>
    </row>
    <row r="31" spans="1:16" x14ac:dyDescent="0.2">
      <c r="A31" s="8">
        <f>TabelaSalarioBase[[#This Row],[Nº]]</f>
        <v>29</v>
      </c>
      <c r="B31" s="8">
        <f>TabelaSalarioBase[[#This Row],[Nome]]</f>
        <v>0</v>
      </c>
      <c r="C31" s="9">
        <f>TabelaSalarioBase[[#This Row],[Cargo]]</f>
        <v>0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1">
        <f>SUM(D31:O31)</f>
        <v>0</v>
      </c>
    </row>
    <row r="32" spans="1:16" x14ac:dyDescent="0.2">
      <c r="A32" s="8">
        <f>TabelaSalarioBase[[#This Row],[Nº]]</f>
        <v>30</v>
      </c>
      <c r="B32" s="8">
        <f>TabelaSalarioBase[[#This Row],[Nome]]</f>
        <v>0</v>
      </c>
      <c r="C32" s="9">
        <f>TabelaSalarioBase[[#This Row],[Cargo]]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4">
        <f t="shared" si="0"/>
        <v>0</v>
      </c>
    </row>
    <row r="33" spans="1:16" ht="18" x14ac:dyDescent="0.25">
      <c r="A33" s="50" t="s">
        <v>12</v>
      </c>
      <c r="B33" s="51"/>
      <c r="C33" s="51"/>
      <c r="D33" s="44">
        <f>SUM(TabelaMultaRescisoriaFGTS[Janeiro])</f>
        <v>0</v>
      </c>
      <c r="E33" s="44">
        <f>SUM(TabelaMultaRescisoriaFGTS[Fevereiro])</f>
        <v>0</v>
      </c>
      <c r="F33" s="44">
        <f>SUM(TabelaMultaRescisoriaFGTS[Março])</f>
        <v>0</v>
      </c>
      <c r="G33" s="44">
        <f>SUM(TabelaMultaRescisoriaFGTS[Abril])</f>
        <v>0</v>
      </c>
      <c r="H33" s="44">
        <f>SUM(TabelaMultaRescisoriaFGTS[Maio])</f>
        <v>0</v>
      </c>
      <c r="I33" s="44">
        <f>SUM(TabelaMultaRescisoriaFGTS[Junho])</f>
        <v>0</v>
      </c>
      <c r="J33" s="44">
        <f>SUM(TabelaMultaRescisoriaFGTS[Julho])</f>
        <v>0</v>
      </c>
      <c r="K33" s="44">
        <f>SUM(TabelaMultaRescisoriaFGTS[Agosto])</f>
        <v>0</v>
      </c>
      <c r="L33" s="44">
        <f>SUM(TabelaMultaRescisoriaFGTS[Setembro])</f>
        <v>0</v>
      </c>
      <c r="M33" s="44">
        <f>SUM(TabelaMultaRescisoriaFGTS[Outubro])</f>
        <v>0</v>
      </c>
      <c r="N33" s="44">
        <f>SUM(TabelaMultaRescisoriaFGTS[Novembro])</f>
        <v>0</v>
      </c>
      <c r="O33" s="44">
        <f>SUM(TabelaMultaRescisoriaFGTS[Dezembro])</f>
        <v>0</v>
      </c>
      <c r="P33" s="22">
        <f>SUM(P3:P32)</f>
        <v>0</v>
      </c>
    </row>
  </sheetData>
  <mergeCells count="2">
    <mergeCell ref="A1:P1"/>
    <mergeCell ref="A33:C33"/>
  </mergeCells>
  <pageMargins left="0.25" right="0.25" top="0.75" bottom="0.75" header="0.3" footer="0.3"/>
  <pageSetup paperSize="9" scale="59" fitToHeight="0" orientation="landscape" verticalDpi="0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ilha11">
    <pageSetUpPr fitToPage="1"/>
  </sheetPr>
  <dimension ref="A1:P13"/>
  <sheetViews>
    <sheetView zoomScale="80" zoomScaleNormal="80" workbookViewId="0">
      <selection activeCell="M20" sqref="M20"/>
    </sheetView>
  </sheetViews>
  <sheetFormatPr defaultRowHeight="12.75" x14ac:dyDescent="0.2"/>
  <cols>
    <col min="1" max="1" width="3.42578125" style="7" bestFit="1" customWidth="1"/>
    <col min="2" max="2" width="35.7109375" style="7" customWidth="1"/>
    <col min="3" max="3" width="30.7109375" style="7" customWidth="1"/>
    <col min="4" max="7" width="14.28515625" style="2" bestFit="1" customWidth="1"/>
    <col min="8" max="15" width="13" style="2" bestFit="1" customWidth="1"/>
    <col min="16" max="16" width="21.42578125" style="2" bestFit="1" customWidth="1"/>
    <col min="17" max="16384" width="9.140625" style="2"/>
  </cols>
  <sheetData>
    <row r="1" spans="1:16" s="1" customFormat="1" ht="50.1" customHeight="1" thickBot="1" x14ac:dyDescent="0.3">
      <c r="A1" s="52" t="s">
        <v>86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9"/>
    </row>
    <row r="2" spans="1:16" s="1" customFormat="1" x14ac:dyDescent="0.25">
      <c r="A2" s="5" t="s">
        <v>25</v>
      </c>
      <c r="B2" s="5" t="s">
        <v>0</v>
      </c>
      <c r="C2" s="6" t="s">
        <v>30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24</v>
      </c>
      <c r="I2" s="3" t="s">
        <v>20</v>
      </c>
      <c r="J2" s="3" t="s">
        <v>21</v>
      </c>
      <c r="K2" s="3" t="s">
        <v>22</v>
      </c>
      <c r="L2" s="3" t="s">
        <v>29</v>
      </c>
      <c r="M2" s="3" t="s">
        <v>23</v>
      </c>
      <c r="N2" s="3" t="s">
        <v>27</v>
      </c>
      <c r="O2" s="3" t="s">
        <v>28</v>
      </c>
      <c r="P2" s="4" t="s">
        <v>2</v>
      </c>
    </row>
    <row r="3" spans="1:16" s="1" customFormat="1" x14ac:dyDescent="0.25">
      <c r="A3" s="8">
        <f>TabelaSalarioBase[[#This Row],[Nº]]</f>
        <v>1</v>
      </c>
      <c r="B3" s="8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>
        <f>SUM(D3:O3)</f>
        <v>0</v>
      </c>
    </row>
    <row r="4" spans="1:16" s="1" customFormat="1" x14ac:dyDescent="0.25">
      <c r="A4" s="8">
        <f>TabelaSalarioBase[[#This Row],[Nº]]</f>
        <v>2</v>
      </c>
      <c r="B4" s="8"/>
      <c r="C4" s="9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1">
        <f t="shared" ref="P4:P12" si="0">SUM(D4:O4)</f>
        <v>0</v>
      </c>
    </row>
    <row r="5" spans="1:16" s="1" customFormat="1" x14ac:dyDescent="0.25">
      <c r="A5" s="8">
        <f>TabelaSalarioBase[[#This Row],[Nº]]</f>
        <v>3</v>
      </c>
      <c r="B5" s="8"/>
      <c r="C5" s="9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1">
        <f t="shared" si="0"/>
        <v>0</v>
      </c>
    </row>
    <row r="6" spans="1:16" s="1" customFormat="1" x14ac:dyDescent="0.25">
      <c r="A6" s="8">
        <f>TabelaSalarioBase[[#This Row],[Nº]]</f>
        <v>4</v>
      </c>
      <c r="B6" s="8"/>
      <c r="C6" s="9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1">
        <f t="shared" si="0"/>
        <v>0</v>
      </c>
    </row>
    <row r="7" spans="1:16" s="1" customFormat="1" x14ac:dyDescent="0.25">
      <c r="A7" s="8">
        <f>TabelaSalarioBase[[#This Row],[Nº]]</f>
        <v>5</v>
      </c>
      <c r="B7" s="8"/>
      <c r="C7" s="9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1">
        <f t="shared" si="0"/>
        <v>0</v>
      </c>
    </row>
    <row r="8" spans="1:16" s="1" customFormat="1" x14ac:dyDescent="0.25">
      <c r="A8" s="8">
        <f>TabelaSalarioBase[[#This Row],[Nº]]</f>
        <v>6</v>
      </c>
      <c r="B8" s="8"/>
      <c r="C8" s="9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1">
        <f t="shared" si="0"/>
        <v>0</v>
      </c>
    </row>
    <row r="9" spans="1:16" s="1" customFormat="1" x14ac:dyDescent="0.25">
      <c r="A9" s="8">
        <f>TabelaSalarioBase[[#This Row],[Nº]]</f>
        <v>7</v>
      </c>
      <c r="B9" s="8"/>
      <c r="C9" s="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1">
        <f t="shared" si="0"/>
        <v>0</v>
      </c>
    </row>
    <row r="10" spans="1:16" s="1" customFormat="1" x14ac:dyDescent="0.25">
      <c r="A10" s="8">
        <f>TabelaSalarioBase[[#This Row],[Nº]]</f>
        <v>8</v>
      </c>
      <c r="B10" s="8"/>
      <c r="C10" s="9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1">
        <f t="shared" si="0"/>
        <v>0</v>
      </c>
    </row>
    <row r="11" spans="1:16" s="1" customFormat="1" x14ac:dyDescent="0.25">
      <c r="A11" s="8">
        <f>TabelaSalarioBase[[#This Row],[Nº]]</f>
        <v>9</v>
      </c>
      <c r="B11" s="8"/>
      <c r="C11" s="9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1">
        <f t="shared" si="0"/>
        <v>0</v>
      </c>
    </row>
    <row r="12" spans="1:16" s="1" customFormat="1" x14ac:dyDescent="0.25">
      <c r="A12" s="8">
        <f>TabelaSalarioBase[[#This Row],[Nº]]</f>
        <v>10</v>
      </c>
      <c r="B12" s="8"/>
      <c r="C12" s="9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1">
        <f t="shared" si="0"/>
        <v>0</v>
      </c>
    </row>
    <row r="13" spans="1:16" ht="18" x14ac:dyDescent="0.25">
      <c r="A13" s="50" t="s">
        <v>12</v>
      </c>
      <c r="B13" s="51"/>
      <c r="C13" s="51"/>
      <c r="D13" s="44">
        <f>SUM(TabelaRH6[Janeiro])</f>
        <v>0</v>
      </c>
      <c r="E13" s="44">
        <f>SUM(TabelaRH6[Fevereiro])</f>
        <v>0</v>
      </c>
      <c r="F13" s="44">
        <f>SUM(TabelaRH6[Março])</f>
        <v>0</v>
      </c>
      <c r="G13" s="44">
        <f>SUM(TabelaRH6[Abril])</f>
        <v>0</v>
      </c>
      <c r="H13" s="44">
        <f>SUM(TabelaRH6[Maio])</f>
        <v>0</v>
      </c>
      <c r="I13" s="44">
        <f>SUM(TabelaRH6[Junho])</f>
        <v>0</v>
      </c>
      <c r="J13" s="44">
        <f>SUM(TabelaRH6[Julho])</f>
        <v>0</v>
      </c>
      <c r="K13" s="44">
        <f>SUM(TabelaRH6[Agosto])</f>
        <v>0</v>
      </c>
      <c r="L13" s="44">
        <f>SUM(TabelaRH6[Setembro])</f>
        <v>0</v>
      </c>
      <c r="M13" s="44">
        <f>SUM(TabelaRH6[Outubro])</f>
        <v>0</v>
      </c>
      <c r="N13" s="44">
        <f>SUM(TabelaRH6[Novembro])</f>
        <v>0</v>
      </c>
      <c r="O13" s="44">
        <f>SUM(TabelaRH6[Dezembro])</f>
        <v>0</v>
      </c>
      <c r="P13" s="22">
        <f>SUM(P3:P12)</f>
        <v>0</v>
      </c>
    </row>
  </sheetData>
  <mergeCells count="2">
    <mergeCell ref="A1:P1"/>
    <mergeCell ref="A13:C13"/>
  </mergeCells>
  <dataValidations count="1">
    <dataValidation type="list" allowBlank="1" showInputMessage="1" showErrorMessage="1" sqref="C3:C12" xr:uid="{00000000-0002-0000-0A00-000000000000}">
      <formula1>"Estagiário,MEI,RPA"</formula1>
    </dataValidation>
  </dataValidations>
  <pageMargins left="0.25" right="0.25" top="0.75" bottom="0.75" header="0.3" footer="0.3"/>
  <pageSetup paperSize="9" scale="56" fitToHeight="0" orientation="landscape" verticalDpi="0"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Planilha12">
    <pageSetUpPr fitToPage="1"/>
  </sheetPr>
  <dimension ref="A1:P13"/>
  <sheetViews>
    <sheetView zoomScale="80" zoomScaleNormal="80" workbookViewId="0">
      <selection activeCell="C4" sqref="C3:O10"/>
    </sheetView>
  </sheetViews>
  <sheetFormatPr defaultRowHeight="12.75" x14ac:dyDescent="0.2"/>
  <cols>
    <col min="1" max="1" width="3.42578125" style="7" bestFit="1" customWidth="1"/>
    <col min="2" max="2" width="34" style="7" customWidth="1"/>
    <col min="3" max="3" width="35.7109375" style="7" customWidth="1"/>
    <col min="4" max="7" width="14.28515625" style="2" bestFit="1" customWidth="1"/>
    <col min="8" max="15" width="13" style="2" bestFit="1" customWidth="1"/>
    <col min="16" max="16" width="21.42578125" style="2" bestFit="1" customWidth="1"/>
    <col min="17" max="16384" width="9.140625" style="2"/>
  </cols>
  <sheetData>
    <row r="1" spans="1:16" s="1" customFormat="1" ht="50.1" customHeight="1" thickBot="1" x14ac:dyDescent="0.3">
      <c r="A1" s="52" t="s">
        <v>87</v>
      </c>
      <c r="B1" s="53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9"/>
    </row>
    <row r="2" spans="1:16" s="1" customFormat="1" x14ac:dyDescent="0.25">
      <c r="A2" s="5" t="s">
        <v>25</v>
      </c>
      <c r="B2" s="5" t="s">
        <v>100</v>
      </c>
      <c r="C2" s="5" t="s">
        <v>31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24</v>
      </c>
      <c r="I2" s="3" t="s">
        <v>20</v>
      </c>
      <c r="J2" s="3" t="s">
        <v>21</v>
      </c>
      <c r="K2" s="3" t="s">
        <v>22</v>
      </c>
      <c r="L2" s="3" t="s">
        <v>29</v>
      </c>
      <c r="M2" s="3" t="s">
        <v>23</v>
      </c>
      <c r="N2" s="3" t="s">
        <v>27</v>
      </c>
      <c r="O2" s="3" t="s">
        <v>28</v>
      </c>
      <c r="P2" s="4" t="s">
        <v>2</v>
      </c>
    </row>
    <row r="3" spans="1:16" s="1" customFormat="1" x14ac:dyDescent="0.25">
      <c r="A3" s="8">
        <f>TabelaSalarioBase[[#This Row],[Nº]]</f>
        <v>1</v>
      </c>
      <c r="B3" s="8"/>
      <c r="C3" s="8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>
        <f>SUM(D3:O3)</f>
        <v>0</v>
      </c>
    </row>
    <row r="4" spans="1:16" s="1" customFormat="1" x14ac:dyDescent="0.25">
      <c r="A4" s="8">
        <f>TabelaSalarioBase[[#This Row],[Nº]]</f>
        <v>2</v>
      </c>
      <c r="B4" s="8"/>
      <c r="C4" s="8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1">
        <f t="shared" ref="P4:P12" si="0">SUM(D4:O4)</f>
        <v>0</v>
      </c>
    </row>
    <row r="5" spans="1:16" s="1" customFormat="1" x14ac:dyDescent="0.25">
      <c r="A5" s="8">
        <f>TabelaSalarioBase[[#This Row],[Nº]]</f>
        <v>3</v>
      </c>
      <c r="B5" s="8"/>
      <c r="C5" s="8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1">
        <f t="shared" si="0"/>
        <v>0</v>
      </c>
    </row>
    <row r="6" spans="1:16" s="1" customFormat="1" x14ac:dyDescent="0.25">
      <c r="A6" s="8">
        <f>TabelaSalarioBase[[#This Row],[Nº]]</f>
        <v>4</v>
      </c>
      <c r="B6" s="8"/>
      <c r="C6" s="8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1">
        <f t="shared" si="0"/>
        <v>0</v>
      </c>
    </row>
    <row r="7" spans="1:16" s="1" customFormat="1" x14ac:dyDescent="0.25">
      <c r="A7" s="8">
        <f>TabelaSalarioBase[[#This Row],[Nº]]</f>
        <v>5</v>
      </c>
      <c r="B7" s="8"/>
      <c r="C7" s="8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1">
        <f t="shared" si="0"/>
        <v>0</v>
      </c>
    </row>
    <row r="8" spans="1:16" s="1" customFormat="1" x14ac:dyDescent="0.25">
      <c r="A8" s="8">
        <f>TabelaSalarioBase[[#This Row],[Nº]]</f>
        <v>6</v>
      </c>
      <c r="B8" s="8"/>
      <c r="C8" s="8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1">
        <f t="shared" si="0"/>
        <v>0</v>
      </c>
    </row>
    <row r="9" spans="1:16" s="1" customFormat="1" x14ac:dyDescent="0.25">
      <c r="A9" s="8">
        <f>TabelaSalarioBase[[#This Row],[Nº]]</f>
        <v>7</v>
      </c>
      <c r="B9" s="8"/>
      <c r="C9" s="8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1">
        <f t="shared" si="0"/>
        <v>0</v>
      </c>
    </row>
    <row r="10" spans="1:16" s="1" customFormat="1" x14ac:dyDescent="0.25">
      <c r="A10" s="8">
        <f>TabelaSalarioBase[[#This Row],[Nº]]</f>
        <v>8</v>
      </c>
      <c r="B10" s="8"/>
      <c r="C10" s="8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1">
        <f t="shared" si="0"/>
        <v>0</v>
      </c>
    </row>
    <row r="11" spans="1:16" s="1" customFormat="1" x14ac:dyDescent="0.25">
      <c r="A11" s="8">
        <f>TabelaSalarioBase[[#This Row],[Nº]]</f>
        <v>9</v>
      </c>
      <c r="B11" s="8"/>
      <c r="C11" s="8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1">
        <f t="shared" si="0"/>
        <v>0</v>
      </c>
    </row>
    <row r="12" spans="1:16" s="1" customFormat="1" x14ac:dyDescent="0.25">
      <c r="A12" s="8">
        <f>TabelaSalarioBase[[#This Row],[Nº]]</f>
        <v>10</v>
      </c>
      <c r="B12" s="8"/>
      <c r="C12" s="8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1">
        <f t="shared" si="0"/>
        <v>0</v>
      </c>
    </row>
    <row r="13" spans="1:16" ht="18" x14ac:dyDescent="0.25">
      <c r="A13" s="50" t="s">
        <v>12</v>
      </c>
      <c r="B13" s="51"/>
      <c r="C13" s="51"/>
      <c r="D13" s="44">
        <f>SUM(TabelaMCGA[Janeiro])</f>
        <v>0</v>
      </c>
      <c r="E13" s="44">
        <f>SUM(TabelaMCGA[Fevereiro])</f>
        <v>0</v>
      </c>
      <c r="F13" s="44">
        <f>SUM(TabelaMCGA[Março])</f>
        <v>0</v>
      </c>
      <c r="G13" s="44">
        <f>SUM(TabelaMCGA[Abril])</f>
        <v>0</v>
      </c>
      <c r="H13" s="44">
        <f>SUM(TabelaMCGA[Maio])</f>
        <v>0</v>
      </c>
      <c r="I13" s="44">
        <f>SUM(TabelaMCGA[Junho])</f>
        <v>0</v>
      </c>
      <c r="J13" s="44">
        <f>SUM(TabelaMCGA[Julho])</f>
        <v>0</v>
      </c>
      <c r="K13" s="44">
        <f>SUM(TabelaMCGA[Agosto])</f>
        <v>0</v>
      </c>
      <c r="L13" s="44">
        <f>SUM(TabelaMCGA[Setembro])</f>
        <v>0</v>
      </c>
      <c r="M13" s="44">
        <f>SUM(TabelaMCGA[Outubro])</f>
        <v>0</v>
      </c>
      <c r="N13" s="44">
        <f>SUM(TabelaMCGA[Novembro])</f>
        <v>0</v>
      </c>
      <c r="O13" s="44">
        <f>SUM(TabelaMCGA[Dezembro])</f>
        <v>0</v>
      </c>
      <c r="P13" s="22">
        <f>SUM(P3:P12)</f>
        <v>0</v>
      </c>
    </row>
  </sheetData>
  <mergeCells count="2">
    <mergeCell ref="A1:P1"/>
    <mergeCell ref="A13:C13"/>
  </mergeCells>
  <dataValidations count="1">
    <dataValidation type="list" allowBlank="1" showInputMessage="1" showErrorMessage="1" sqref="C3:C12" xr:uid="{00000000-0002-0000-0B00-000000000000}">
      <formula1>"Combustível,Material de Expediente,Material de Higienização e Limpeza,Material Didático,Material Esportivo,Generos Alimentícios"</formula1>
    </dataValidation>
  </dataValidations>
  <pageMargins left="0.25" right="0.25" top="0.75" bottom="0.75" header="0.3" footer="0.3"/>
  <pageSetup paperSize="9" scale="55" fitToHeight="0" orientation="landscape" verticalDpi="0"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Planilha13">
    <pageSetUpPr fitToPage="1"/>
  </sheetPr>
  <dimension ref="A1:P13"/>
  <sheetViews>
    <sheetView zoomScale="80" zoomScaleNormal="80" workbookViewId="0">
      <selection activeCell="I20" sqref="I20"/>
    </sheetView>
  </sheetViews>
  <sheetFormatPr defaultRowHeight="12.75" x14ac:dyDescent="0.2"/>
  <cols>
    <col min="1" max="1" width="3.42578125" style="7" bestFit="1" customWidth="1"/>
    <col min="2" max="2" width="39" style="7" customWidth="1"/>
    <col min="3" max="3" width="33.140625" style="7" customWidth="1"/>
    <col min="4" max="15" width="14.28515625" style="2" bestFit="1" customWidth="1"/>
    <col min="16" max="16" width="21.42578125" style="2" bestFit="1" customWidth="1"/>
    <col min="17" max="16384" width="9.140625" style="2"/>
  </cols>
  <sheetData>
    <row r="1" spans="1:16" s="1" customFormat="1" ht="50.1" customHeight="1" thickBot="1" x14ac:dyDescent="0.3">
      <c r="A1" s="52" t="s">
        <v>88</v>
      </c>
      <c r="B1" s="53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9"/>
    </row>
    <row r="2" spans="1:16" s="1" customFormat="1" x14ac:dyDescent="0.25">
      <c r="A2" s="5" t="s">
        <v>25</v>
      </c>
      <c r="B2" s="5" t="s">
        <v>100</v>
      </c>
      <c r="C2" s="5" t="s">
        <v>31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24</v>
      </c>
      <c r="I2" s="3" t="s">
        <v>20</v>
      </c>
      <c r="J2" s="3" t="s">
        <v>21</v>
      </c>
      <c r="K2" s="3" t="s">
        <v>22</v>
      </c>
      <c r="L2" s="3" t="s">
        <v>29</v>
      </c>
      <c r="M2" s="3" t="s">
        <v>23</v>
      </c>
      <c r="N2" s="3" t="s">
        <v>27</v>
      </c>
      <c r="O2" s="3" t="s">
        <v>28</v>
      </c>
      <c r="P2" s="4" t="s">
        <v>2</v>
      </c>
    </row>
    <row r="3" spans="1:16" s="1" customFormat="1" x14ac:dyDescent="0.25">
      <c r="A3" s="8">
        <f>TabelaSalarioBase[[#This Row],[Nº]]</f>
        <v>1</v>
      </c>
      <c r="B3" s="8"/>
      <c r="C3" s="8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>
        <f>SUM(D3:O3)</f>
        <v>0</v>
      </c>
    </row>
    <row r="4" spans="1:16" s="1" customFormat="1" x14ac:dyDescent="0.25">
      <c r="A4" s="8">
        <f>TabelaSalarioBase[[#This Row],[Nº]]</f>
        <v>2</v>
      </c>
      <c r="B4" s="8"/>
      <c r="C4" s="8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1">
        <f t="shared" ref="P4:P12" si="0">SUM(D4:O4)</f>
        <v>0</v>
      </c>
    </row>
    <row r="5" spans="1:16" s="1" customFormat="1" x14ac:dyDescent="0.25">
      <c r="A5" s="8">
        <f>TabelaSalarioBase[[#This Row],[Nº]]</f>
        <v>3</v>
      </c>
      <c r="B5" s="8"/>
      <c r="C5" s="8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1">
        <f t="shared" si="0"/>
        <v>0</v>
      </c>
    </row>
    <row r="6" spans="1:16" s="1" customFormat="1" x14ac:dyDescent="0.25">
      <c r="A6" s="8">
        <f>TabelaSalarioBase[[#This Row],[Nº]]</f>
        <v>4</v>
      </c>
      <c r="B6" s="8"/>
      <c r="C6" s="8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1">
        <f t="shared" si="0"/>
        <v>0</v>
      </c>
    </row>
    <row r="7" spans="1:16" s="1" customFormat="1" x14ac:dyDescent="0.25">
      <c r="A7" s="8">
        <f>TabelaSalarioBase[[#This Row],[Nº]]</f>
        <v>5</v>
      </c>
      <c r="B7" s="8"/>
      <c r="C7" s="8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1">
        <f t="shared" si="0"/>
        <v>0</v>
      </c>
    </row>
    <row r="8" spans="1:16" s="1" customFormat="1" x14ac:dyDescent="0.25">
      <c r="A8" s="8">
        <f>TabelaSalarioBase[[#This Row],[Nº]]</f>
        <v>6</v>
      </c>
      <c r="B8" s="8"/>
      <c r="C8" s="8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1">
        <f t="shared" si="0"/>
        <v>0</v>
      </c>
    </row>
    <row r="9" spans="1:16" s="1" customFormat="1" x14ac:dyDescent="0.25">
      <c r="A9" s="8">
        <f>TabelaSalarioBase[[#This Row],[Nº]]</f>
        <v>7</v>
      </c>
      <c r="B9" s="8"/>
      <c r="C9" s="8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1">
        <f t="shared" si="0"/>
        <v>0</v>
      </c>
    </row>
    <row r="10" spans="1:16" s="1" customFormat="1" x14ac:dyDescent="0.25">
      <c r="A10" s="8">
        <f>TabelaSalarioBase[[#This Row],[Nº]]</f>
        <v>8</v>
      </c>
      <c r="B10" s="8"/>
      <c r="C10" s="8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1">
        <f t="shared" si="0"/>
        <v>0</v>
      </c>
    </row>
    <row r="11" spans="1:16" s="1" customFormat="1" x14ac:dyDescent="0.25">
      <c r="A11" s="8">
        <f>TabelaSalarioBase[[#This Row],[Nº]]</f>
        <v>9</v>
      </c>
      <c r="B11" s="8"/>
      <c r="C11" s="8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1">
        <f t="shared" si="0"/>
        <v>0</v>
      </c>
    </row>
    <row r="12" spans="1:16" s="1" customFormat="1" x14ac:dyDescent="0.25">
      <c r="A12" s="8">
        <f>TabelaSalarioBase[[#This Row],[Nº]]</f>
        <v>10</v>
      </c>
      <c r="B12" s="8"/>
      <c r="C12" s="8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1">
        <f t="shared" si="0"/>
        <v>0</v>
      </c>
    </row>
    <row r="13" spans="1:16" ht="18" x14ac:dyDescent="0.25">
      <c r="A13" s="50" t="s">
        <v>12</v>
      </c>
      <c r="B13" s="51"/>
      <c r="C13" s="51"/>
      <c r="D13" s="44">
        <f>SUM(TabelaServicosTerceiros[Janeiro])</f>
        <v>0</v>
      </c>
      <c r="E13" s="44">
        <f>SUM(TabelaServicosTerceiros[Fevereiro])</f>
        <v>0</v>
      </c>
      <c r="F13" s="44">
        <f>SUM(TabelaServicosTerceiros[Março])</f>
        <v>0</v>
      </c>
      <c r="G13" s="44">
        <f>SUM(TabelaServicosTerceiros[Abril])</f>
        <v>0</v>
      </c>
      <c r="H13" s="44">
        <f>SUM(TabelaServicosTerceiros[Maio])</f>
        <v>0</v>
      </c>
      <c r="I13" s="44">
        <f>SUM(TabelaServicosTerceiros[Junho])</f>
        <v>0</v>
      </c>
      <c r="J13" s="44">
        <f>SUM(TabelaServicosTerceiros[Julho])</f>
        <v>0</v>
      </c>
      <c r="K13" s="44">
        <f>SUM(TabelaServicosTerceiros[Agosto])</f>
        <v>0</v>
      </c>
      <c r="L13" s="44">
        <f>SUM(TabelaServicosTerceiros[Setembro])</f>
        <v>0</v>
      </c>
      <c r="M13" s="44">
        <f>SUM(TabelaServicosTerceiros[Outubro])</f>
        <v>0</v>
      </c>
      <c r="N13" s="44">
        <f>SUM(TabelaServicosTerceiros[Novembro])</f>
        <v>0</v>
      </c>
      <c r="O13" s="44">
        <f>SUM(TabelaServicosTerceiros[Dezembro])</f>
        <v>0</v>
      </c>
      <c r="P13" s="22">
        <f>SUM(P3:P12)</f>
        <v>0</v>
      </c>
    </row>
  </sheetData>
  <mergeCells count="2">
    <mergeCell ref="A1:P1"/>
    <mergeCell ref="A13:C13"/>
  </mergeCells>
  <dataValidations count="1">
    <dataValidation type="list" allowBlank="1" showInputMessage="1" showErrorMessage="1" sqref="C3:C12" xr:uid="{00000000-0002-0000-0C00-000000000000}">
      <formula1>"Coleta de Lixo Hospitalar,Assessoria Contábil,Limpeza e Conservação,Serviços de Terceiros PF,Serviços de Terceiros PJ,Serviços de TI,Vigilância,Manutenção Equip. de Informática,Predial e Imobiliário,Veículos,Manutenção Equip. Médico Hospitalar"</formula1>
    </dataValidation>
  </dataValidations>
  <pageMargins left="0.25" right="0.25" top="0.75" bottom="0.75" header="0.3" footer="0.3"/>
  <pageSetup paperSize="9" scale="53" fitToHeight="0" orientation="landscape" verticalDpi="0" r:id="rId1"/>
  <tableParts count="1">
    <tablePart r:id="rId2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Planilha14">
    <pageSetUpPr fitToPage="1"/>
  </sheetPr>
  <dimension ref="A1:O7"/>
  <sheetViews>
    <sheetView zoomScale="80" zoomScaleNormal="80" workbookViewId="0">
      <selection activeCell="L11" sqref="L11"/>
    </sheetView>
  </sheetViews>
  <sheetFormatPr defaultRowHeight="12.75" x14ac:dyDescent="0.2"/>
  <cols>
    <col min="1" max="1" width="3.42578125" style="7" bestFit="1" customWidth="1"/>
    <col min="2" max="2" width="35.7109375" style="7" customWidth="1"/>
    <col min="3" max="6" width="14.28515625" style="2" bestFit="1" customWidth="1"/>
    <col min="7" max="14" width="13" style="2" bestFit="1" customWidth="1"/>
    <col min="15" max="15" width="21.42578125" style="2" bestFit="1" customWidth="1"/>
    <col min="16" max="16384" width="9.140625" style="2"/>
  </cols>
  <sheetData>
    <row r="1" spans="1:15" s="1" customFormat="1" ht="50.1" customHeight="1" thickBot="1" x14ac:dyDescent="0.3">
      <c r="A1" s="52" t="s">
        <v>89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9"/>
    </row>
    <row r="2" spans="1:15" s="1" customFormat="1" x14ac:dyDescent="0.25">
      <c r="A2" s="5" t="s">
        <v>25</v>
      </c>
      <c r="B2" s="5" t="s">
        <v>31</v>
      </c>
      <c r="C2" s="3" t="s">
        <v>16</v>
      </c>
      <c r="D2" s="3" t="s">
        <v>17</v>
      </c>
      <c r="E2" s="3" t="s">
        <v>18</v>
      </c>
      <c r="F2" s="3" t="s">
        <v>19</v>
      </c>
      <c r="G2" s="3" t="s">
        <v>24</v>
      </c>
      <c r="H2" s="3" t="s">
        <v>20</v>
      </c>
      <c r="I2" s="3" t="s">
        <v>21</v>
      </c>
      <c r="J2" s="3" t="s">
        <v>22</v>
      </c>
      <c r="K2" s="3" t="s">
        <v>29</v>
      </c>
      <c r="L2" s="3" t="s">
        <v>23</v>
      </c>
      <c r="M2" s="3" t="s">
        <v>27</v>
      </c>
      <c r="N2" s="3" t="s">
        <v>28</v>
      </c>
      <c r="O2" s="4" t="s">
        <v>2</v>
      </c>
    </row>
    <row r="3" spans="1:15" s="1" customFormat="1" x14ac:dyDescent="0.25">
      <c r="A3" s="8">
        <f>TabelaSalarioBase[[#This Row],[Nº]]</f>
        <v>1</v>
      </c>
      <c r="B3" s="8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1">
        <f>SUM(C3:N3)</f>
        <v>0</v>
      </c>
    </row>
    <row r="4" spans="1:15" s="1" customFormat="1" x14ac:dyDescent="0.25">
      <c r="A4" s="8">
        <f>TabelaSalarioBase[[#This Row],[Nº]]</f>
        <v>2</v>
      </c>
      <c r="B4" s="8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1">
        <f t="shared" ref="O4:O6" si="0">SUM(C4:N4)</f>
        <v>0</v>
      </c>
    </row>
    <row r="5" spans="1:15" s="1" customFormat="1" x14ac:dyDescent="0.25">
      <c r="A5" s="8">
        <f>TabelaSalarioBase[[#This Row],[Nº]]</f>
        <v>3</v>
      </c>
      <c r="B5" s="8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1">
        <f t="shared" si="0"/>
        <v>0</v>
      </c>
    </row>
    <row r="6" spans="1:15" s="1" customFormat="1" x14ac:dyDescent="0.25">
      <c r="A6" s="8">
        <f>TabelaSalarioBase[[#This Row],[Nº]]</f>
        <v>4</v>
      </c>
      <c r="B6" s="8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1">
        <f t="shared" si="0"/>
        <v>0</v>
      </c>
    </row>
    <row r="7" spans="1:15" ht="18" x14ac:dyDescent="0.25">
      <c r="A7" s="50" t="s">
        <v>12</v>
      </c>
      <c r="B7" s="51"/>
      <c r="C7" s="44">
        <f>SUM(TabelaUtilidadesPublicas[Janeiro])</f>
        <v>0</v>
      </c>
      <c r="D7" s="44">
        <f>SUM(TabelaUtilidadesPublicas[Fevereiro])</f>
        <v>0</v>
      </c>
      <c r="E7" s="44">
        <f>SUM(TabelaUtilidadesPublicas[Março])</f>
        <v>0</v>
      </c>
      <c r="F7" s="44">
        <f>SUM(TabelaUtilidadesPublicas[Abril])</f>
        <v>0</v>
      </c>
      <c r="G7" s="44">
        <f>SUM(TabelaUtilidadesPublicas[Maio])</f>
        <v>0</v>
      </c>
      <c r="H7" s="44">
        <f>SUM(TabelaUtilidadesPublicas[Junho])</f>
        <v>0</v>
      </c>
      <c r="I7" s="44">
        <f>SUM(TabelaUtilidadesPublicas[Julho])</f>
        <v>0</v>
      </c>
      <c r="J7" s="44">
        <f>SUM(TabelaUtilidadesPublicas[Agosto])</f>
        <v>0</v>
      </c>
      <c r="K7" s="44">
        <f>SUM(TabelaUtilidadesPublicas[Setembro])</f>
        <v>0</v>
      </c>
      <c r="L7" s="44">
        <f>SUM(TabelaUtilidadesPublicas[Outubro])</f>
        <v>0</v>
      </c>
      <c r="M7" s="44">
        <f>SUM(TabelaUtilidadesPublicas[Novembro])</f>
        <v>0</v>
      </c>
      <c r="N7" s="44">
        <f>SUM(TabelaUtilidadesPublicas[Dezembro])</f>
        <v>0</v>
      </c>
      <c r="O7" s="22">
        <f>SUM(O3:O6)</f>
        <v>0</v>
      </c>
    </row>
  </sheetData>
  <mergeCells count="2">
    <mergeCell ref="A1:O1"/>
    <mergeCell ref="A7:B7"/>
  </mergeCells>
  <dataValidations count="1">
    <dataValidation type="list" allowBlank="1" showInputMessage="1" showErrorMessage="1" sqref="B3:B6" xr:uid="{00000000-0002-0000-0D00-000000000000}">
      <formula1>"Água e Esgoto,Força e Luz,Internet,Telefones"</formula1>
    </dataValidation>
  </dataValidations>
  <pageMargins left="0.25" right="0.25" top="0.75" bottom="0.75" header="0.3" footer="0.3"/>
  <pageSetup paperSize="9" scale="64" fitToHeight="0" orientation="landscape" verticalDpi="0" r:id="rId1"/>
  <tableParts count="1">
    <tablePart r:id="rId2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Planilha15">
    <pageSetUpPr fitToPage="1"/>
  </sheetPr>
  <dimension ref="A1:P13"/>
  <sheetViews>
    <sheetView topLeftCell="A2" zoomScale="80" zoomScaleNormal="80" workbookViewId="0">
      <selection activeCell="J36" sqref="J35:J36"/>
    </sheetView>
  </sheetViews>
  <sheetFormatPr defaultRowHeight="12.75" x14ac:dyDescent="0.2"/>
  <cols>
    <col min="1" max="1" width="3.42578125" style="7" bestFit="1" customWidth="1"/>
    <col min="2" max="2" width="34" style="7" customWidth="1"/>
    <col min="3" max="3" width="35.7109375" style="7" customWidth="1"/>
    <col min="4" max="15" width="14.28515625" style="2" bestFit="1" customWidth="1"/>
    <col min="16" max="16" width="21.42578125" style="2" bestFit="1" customWidth="1"/>
    <col min="17" max="16384" width="9.140625" style="2"/>
  </cols>
  <sheetData>
    <row r="1" spans="1:16" s="1" customFormat="1" ht="50.1" customHeight="1" thickBot="1" x14ac:dyDescent="0.3">
      <c r="A1" s="52" t="s">
        <v>90</v>
      </c>
      <c r="B1" s="53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9"/>
    </row>
    <row r="2" spans="1:16" s="1" customFormat="1" x14ac:dyDescent="0.25">
      <c r="A2" s="5" t="s">
        <v>25</v>
      </c>
      <c r="B2" s="5" t="s">
        <v>100</v>
      </c>
      <c r="C2" s="5" t="s">
        <v>31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24</v>
      </c>
      <c r="I2" s="3" t="s">
        <v>20</v>
      </c>
      <c r="J2" s="3" t="s">
        <v>21</v>
      </c>
      <c r="K2" s="3" t="s">
        <v>22</v>
      </c>
      <c r="L2" s="3" t="s">
        <v>29</v>
      </c>
      <c r="M2" s="3" t="s">
        <v>23</v>
      </c>
      <c r="N2" s="3" t="s">
        <v>27</v>
      </c>
      <c r="O2" s="3" t="s">
        <v>28</v>
      </c>
      <c r="P2" s="4" t="s">
        <v>2</v>
      </c>
    </row>
    <row r="3" spans="1:16" s="1" customFormat="1" x14ac:dyDescent="0.25">
      <c r="A3" s="8">
        <f>TabelaSalarioBase[[#This Row],[Nº]]</f>
        <v>1</v>
      </c>
      <c r="B3" s="8"/>
      <c r="C3" s="8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>
        <f>SUM(D3:O3)</f>
        <v>0</v>
      </c>
    </row>
    <row r="4" spans="1:16" s="1" customFormat="1" x14ac:dyDescent="0.25">
      <c r="A4" s="8">
        <f>TabelaSalarioBase[[#This Row],[Nº]]</f>
        <v>2</v>
      </c>
      <c r="B4" s="8"/>
      <c r="C4" s="8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1">
        <f t="shared" ref="P4:P12" si="0">SUM(D4:O4)</f>
        <v>0</v>
      </c>
    </row>
    <row r="5" spans="1:16" s="1" customFormat="1" x14ac:dyDescent="0.25">
      <c r="A5" s="8">
        <f>TabelaSalarioBase[[#This Row],[Nº]]</f>
        <v>3</v>
      </c>
      <c r="B5" s="8"/>
      <c r="C5" s="8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1">
        <f t="shared" si="0"/>
        <v>0</v>
      </c>
    </row>
    <row r="6" spans="1:16" s="1" customFormat="1" x14ac:dyDescent="0.25">
      <c r="A6" s="8">
        <f>TabelaSalarioBase[[#This Row],[Nº]]</f>
        <v>4</v>
      </c>
      <c r="B6" s="8"/>
      <c r="C6" s="8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1">
        <f t="shared" si="0"/>
        <v>0</v>
      </c>
    </row>
    <row r="7" spans="1:16" s="1" customFormat="1" x14ac:dyDescent="0.25">
      <c r="A7" s="8">
        <f>TabelaSalarioBase[[#This Row],[Nº]]</f>
        <v>5</v>
      </c>
      <c r="B7" s="8"/>
      <c r="C7" s="8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1">
        <f t="shared" si="0"/>
        <v>0</v>
      </c>
    </row>
    <row r="8" spans="1:16" s="1" customFormat="1" x14ac:dyDescent="0.25">
      <c r="A8" s="8">
        <f>TabelaSalarioBase[[#This Row],[Nº]]</f>
        <v>6</v>
      </c>
      <c r="B8" s="8"/>
      <c r="C8" s="8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1">
        <f t="shared" si="0"/>
        <v>0</v>
      </c>
    </row>
    <row r="9" spans="1:16" s="1" customFormat="1" x14ac:dyDescent="0.25">
      <c r="A9" s="8">
        <f>TabelaSalarioBase[[#This Row],[Nº]]</f>
        <v>7</v>
      </c>
      <c r="B9" s="8"/>
      <c r="C9" s="8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1">
        <f t="shared" si="0"/>
        <v>0</v>
      </c>
    </row>
    <row r="10" spans="1:16" s="1" customFormat="1" x14ac:dyDescent="0.25">
      <c r="A10" s="8">
        <f>TabelaSalarioBase[[#This Row],[Nº]]</f>
        <v>8</v>
      </c>
      <c r="B10" s="8"/>
      <c r="C10" s="8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1">
        <f t="shared" si="0"/>
        <v>0</v>
      </c>
    </row>
    <row r="11" spans="1:16" s="1" customFormat="1" x14ac:dyDescent="0.25">
      <c r="A11" s="8">
        <f>TabelaSalarioBase[[#This Row],[Nº]]</f>
        <v>9</v>
      </c>
      <c r="B11" s="8"/>
      <c r="C11" s="8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1">
        <f t="shared" si="0"/>
        <v>0</v>
      </c>
    </row>
    <row r="12" spans="1:16" s="1" customFormat="1" x14ac:dyDescent="0.25">
      <c r="A12" s="8">
        <f>TabelaSalarioBase[[#This Row],[Nº]]</f>
        <v>10</v>
      </c>
      <c r="B12" s="8"/>
      <c r="C12" s="8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1">
        <f t="shared" si="0"/>
        <v>0</v>
      </c>
    </row>
    <row r="13" spans="1:16" ht="18" x14ac:dyDescent="0.25">
      <c r="A13" s="50" t="s">
        <v>12</v>
      </c>
      <c r="B13" s="51"/>
      <c r="C13" s="51"/>
      <c r="D13" s="44">
        <f>SUM(TabelaLocacao[Janeiro])</f>
        <v>0</v>
      </c>
      <c r="E13" s="44">
        <f>SUM(TabelaLocacao[Fevereiro])</f>
        <v>0</v>
      </c>
      <c r="F13" s="44">
        <f>SUM(TabelaLocacao[Março])</f>
        <v>0</v>
      </c>
      <c r="G13" s="44">
        <f>SUM(TabelaLocacao[Abril])</f>
        <v>0</v>
      </c>
      <c r="H13" s="44">
        <f>SUM(TabelaLocacao[Maio])</f>
        <v>0</v>
      </c>
      <c r="I13" s="44">
        <f>SUM(TabelaLocacao[Junho])</f>
        <v>0</v>
      </c>
      <c r="J13" s="44">
        <f>SUM(TabelaLocacao[Julho])</f>
        <v>0</v>
      </c>
      <c r="K13" s="44">
        <f>SUM(TabelaLocacao[Agosto])</f>
        <v>0</v>
      </c>
      <c r="L13" s="44">
        <f>SUM(TabelaLocacao[Setembro])</f>
        <v>0</v>
      </c>
      <c r="M13" s="44">
        <f>SUM(TabelaLocacao[Outubro])</f>
        <v>0</v>
      </c>
      <c r="N13" s="44">
        <f>SUM(TabelaLocacao[Novembro])</f>
        <v>0</v>
      </c>
      <c r="O13" s="44">
        <f>SUM(TabelaLocacao[Dezembro])</f>
        <v>0</v>
      </c>
      <c r="P13" s="22">
        <f>SUM(P3:P12)</f>
        <v>0</v>
      </c>
    </row>
  </sheetData>
  <mergeCells count="2">
    <mergeCell ref="A1:P1"/>
    <mergeCell ref="A13:C13"/>
  </mergeCells>
  <dataValidations count="1">
    <dataValidation type="list" allowBlank="1" showInputMessage="1" showErrorMessage="1" sqref="C3:C12" xr:uid="{00000000-0002-0000-0E00-000000000000}">
      <formula1>"Diversas,Equipamento de Informática,Equipamento Médico Hospitalar,Imóvel"</formula1>
    </dataValidation>
  </dataValidations>
  <pageMargins left="0.25" right="0.25" top="0.75" bottom="0.75" header="0.3" footer="0.3"/>
  <pageSetup paperSize="9" scale="53" fitToHeight="0" orientation="landscape" verticalDpi="0" r:id="rId1"/>
  <tableParts count="1">
    <tablePart r:id="rId2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Planilha16">
    <pageSetUpPr fitToPage="1"/>
  </sheetPr>
  <dimension ref="A1:O26"/>
  <sheetViews>
    <sheetView zoomScale="80" zoomScaleNormal="80" workbookViewId="0">
      <selection activeCell="C3" sqref="C3:N6"/>
    </sheetView>
  </sheetViews>
  <sheetFormatPr defaultRowHeight="12.75" x14ac:dyDescent="0.2"/>
  <cols>
    <col min="1" max="1" width="3.42578125" style="7" bestFit="1" customWidth="1"/>
    <col min="2" max="2" width="35.7109375" style="7" customWidth="1"/>
    <col min="3" max="14" width="14.28515625" style="2" bestFit="1" customWidth="1"/>
    <col min="15" max="15" width="21.42578125" style="2" bestFit="1" customWidth="1"/>
    <col min="16" max="16384" width="9.140625" style="2"/>
  </cols>
  <sheetData>
    <row r="1" spans="1:15" s="1" customFormat="1" ht="50.1" customHeight="1" thickBot="1" x14ac:dyDescent="0.3">
      <c r="A1" s="52" t="s">
        <v>91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9"/>
    </row>
    <row r="2" spans="1:15" s="1" customFormat="1" x14ac:dyDescent="0.25">
      <c r="A2" s="5" t="s">
        <v>25</v>
      </c>
      <c r="B2" s="5" t="s">
        <v>100</v>
      </c>
      <c r="C2" s="3" t="s">
        <v>16</v>
      </c>
      <c r="D2" s="3" t="s">
        <v>17</v>
      </c>
      <c r="E2" s="3" t="s">
        <v>18</v>
      </c>
      <c r="F2" s="3" t="s">
        <v>19</v>
      </c>
      <c r="G2" s="3" t="s">
        <v>24</v>
      </c>
      <c r="H2" s="3" t="s">
        <v>20</v>
      </c>
      <c r="I2" s="3" t="s">
        <v>21</v>
      </c>
      <c r="J2" s="3" t="s">
        <v>22</v>
      </c>
      <c r="K2" s="3" t="s">
        <v>29</v>
      </c>
      <c r="L2" s="3" t="s">
        <v>23</v>
      </c>
      <c r="M2" s="3" t="s">
        <v>27</v>
      </c>
      <c r="N2" s="3" t="s">
        <v>28</v>
      </c>
      <c r="O2" s="4" t="s">
        <v>2</v>
      </c>
    </row>
    <row r="3" spans="1:15" s="1" customFormat="1" x14ac:dyDescent="0.25">
      <c r="A3" s="8">
        <f>TabelaSalarioBase[[#This Row],[Nº]]</f>
        <v>1</v>
      </c>
      <c r="B3" s="8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1">
        <f>SUM(C3:N3)</f>
        <v>0</v>
      </c>
    </row>
    <row r="4" spans="1:15" s="1" customFormat="1" x14ac:dyDescent="0.25">
      <c r="A4" s="8">
        <f>TabelaSalarioBase[[#This Row],[Nº]]</f>
        <v>2</v>
      </c>
      <c r="B4" s="8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1">
        <f t="shared" ref="O4:O12" si="0">SUM(C4:N4)</f>
        <v>0</v>
      </c>
    </row>
    <row r="5" spans="1:15" s="1" customFormat="1" x14ac:dyDescent="0.25">
      <c r="A5" s="8">
        <f>TabelaSalarioBase[[#This Row],[Nº]]</f>
        <v>3</v>
      </c>
      <c r="B5" s="8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1">
        <f t="shared" si="0"/>
        <v>0</v>
      </c>
    </row>
    <row r="6" spans="1:15" s="1" customFormat="1" x14ac:dyDescent="0.25">
      <c r="A6" s="8">
        <f>TabelaSalarioBase[[#This Row],[Nº]]</f>
        <v>4</v>
      </c>
      <c r="B6" s="8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1">
        <f t="shared" si="0"/>
        <v>0</v>
      </c>
    </row>
    <row r="7" spans="1:15" s="1" customFormat="1" x14ac:dyDescent="0.25">
      <c r="A7" s="8">
        <f>TabelaSalarioBase[[#This Row],[Nº]]</f>
        <v>5</v>
      </c>
      <c r="B7" s="8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1">
        <f t="shared" si="0"/>
        <v>0</v>
      </c>
    </row>
    <row r="8" spans="1:15" s="1" customFormat="1" x14ac:dyDescent="0.25">
      <c r="A8" s="8">
        <f>TabelaSalarioBase[[#This Row],[Nº]]</f>
        <v>6</v>
      </c>
      <c r="B8" s="8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1">
        <f t="shared" si="0"/>
        <v>0</v>
      </c>
    </row>
    <row r="9" spans="1:15" s="1" customFormat="1" x14ac:dyDescent="0.25">
      <c r="A9" s="8">
        <f>TabelaSalarioBase[[#This Row],[Nº]]</f>
        <v>7</v>
      </c>
      <c r="B9" s="8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1">
        <f t="shared" si="0"/>
        <v>0</v>
      </c>
    </row>
    <row r="10" spans="1:15" s="1" customFormat="1" x14ac:dyDescent="0.25">
      <c r="A10" s="8">
        <f>TabelaSalarioBase[[#This Row],[Nº]]</f>
        <v>8</v>
      </c>
      <c r="B10" s="8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1">
        <f t="shared" si="0"/>
        <v>0</v>
      </c>
    </row>
    <row r="11" spans="1:15" s="1" customFormat="1" x14ac:dyDescent="0.25">
      <c r="A11" s="8">
        <f>TabelaSalarioBase[[#This Row],[Nº]]</f>
        <v>9</v>
      </c>
      <c r="B11" s="8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1">
        <f t="shared" si="0"/>
        <v>0</v>
      </c>
    </row>
    <row r="12" spans="1:15" s="1" customFormat="1" x14ac:dyDescent="0.25">
      <c r="A12" s="8">
        <f>TabelaSalarioBase[[#This Row],[Nº]]</f>
        <v>10</v>
      </c>
      <c r="B12" s="8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1">
        <f t="shared" si="0"/>
        <v>0</v>
      </c>
    </row>
    <row r="13" spans="1:15" ht="18" x14ac:dyDescent="0.25">
      <c r="A13" s="60" t="s">
        <v>12</v>
      </c>
      <c r="B13" s="61"/>
      <c r="C13" s="44">
        <f>SUM(TabelaDiversos[Janeiro])</f>
        <v>0</v>
      </c>
      <c r="D13" s="44">
        <f>SUM(TabelaDiversos[Fevereiro])</f>
        <v>0</v>
      </c>
      <c r="E13" s="44">
        <f>SUM(TabelaDiversos[Março])</f>
        <v>0</v>
      </c>
      <c r="F13" s="44">
        <f>SUM(TabelaDiversos[Abril])</f>
        <v>0</v>
      </c>
      <c r="G13" s="44">
        <f>SUM(TabelaDiversos[Maio])</f>
        <v>0</v>
      </c>
      <c r="H13" s="44">
        <f>SUM(TabelaDiversos[Junho])</f>
        <v>0</v>
      </c>
      <c r="I13" s="44">
        <f>SUM(TabelaDiversos[Julho])</f>
        <v>0</v>
      </c>
      <c r="J13" s="44">
        <f>SUM(TabelaDiversos[Agosto])</f>
        <v>0</v>
      </c>
      <c r="K13" s="44">
        <f>SUM(TabelaDiversos[Setembro])</f>
        <v>0</v>
      </c>
      <c r="L13" s="44">
        <f>SUM(TabelaDiversos[Outubro])</f>
        <v>0</v>
      </c>
      <c r="M13" s="44">
        <f>SUM(TabelaDiversos[Novembro])</f>
        <v>0</v>
      </c>
      <c r="N13" s="44">
        <f>SUM(TabelaDiversos[Dezembro])</f>
        <v>0</v>
      </c>
      <c r="O13" s="22">
        <f>SUM(O3:O12)</f>
        <v>0</v>
      </c>
    </row>
    <row r="14" spans="1:15" ht="18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6"/>
    </row>
    <row r="16" spans="1:15" ht="50.1" customHeight="1" x14ac:dyDescent="0.2">
      <c r="A16" s="57" t="s">
        <v>36</v>
      </c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9"/>
    </row>
    <row r="17" spans="1:15" ht="12.75" customHeight="1" x14ac:dyDescent="0.2">
      <c r="A17" s="43">
        <v>1</v>
      </c>
      <c r="B17" s="54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6"/>
    </row>
    <row r="18" spans="1:15" x14ac:dyDescent="0.2">
      <c r="A18" s="43">
        <v>2</v>
      </c>
      <c r="B18" s="54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6"/>
    </row>
    <row r="19" spans="1:15" x14ac:dyDescent="0.2">
      <c r="A19" s="43">
        <v>3</v>
      </c>
      <c r="B19" s="54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6"/>
    </row>
    <row r="20" spans="1:15" x14ac:dyDescent="0.2">
      <c r="A20" s="43">
        <v>4</v>
      </c>
      <c r="B20" s="54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6"/>
    </row>
    <row r="21" spans="1:15" x14ac:dyDescent="0.2">
      <c r="A21" s="43">
        <v>5</v>
      </c>
      <c r="B21" s="54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6"/>
    </row>
    <row r="22" spans="1:15" x14ac:dyDescent="0.2">
      <c r="A22" s="43">
        <v>6</v>
      </c>
      <c r="B22" s="54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6"/>
    </row>
    <row r="23" spans="1:15" x14ac:dyDescent="0.2">
      <c r="A23" s="43">
        <v>7</v>
      </c>
      <c r="B23" s="54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6"/>
    </row>
    <row r="24" spans="1:15" x14ac:dyDescent="0.2">
      <c r="A24" s="43">
        <v>8</v>
      </c>
      <c r="B24" s="54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6"/>
    </row>
    <row r="25" spans="1:15" x14ac:dyDescent="0.2">
      <c r="A25" s="43">
        <v>9</v>
      </c>
      <c r="B25" s="54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6"/>
    </row>
    <row r="26" spans="1:15" x14ac:dyDescent="0.2">
      <c r="A26" s="43">
        <v>10</v>
      </c>
      <c r="B26" s="54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6"/>
    </row>
  </sheetData>
  <mergeCells count="13">
    <mergeCell ref="A13:B13"/>
    <mergeCell ref="B23:O23"/>
    <mergeCell ref="A1:O1"/>
    <mergeCell ref="B17:O17"/>
    <mergeCell ref="B18:O18"/>
    <mergeCell ref="B19:O19"/>
    <mergeCell ref="B24:O24"/>
    <mergeCell ref="B25:O25"/>
    <mergeCell ref="B26:O26"/>
    <mergeCell ref="A16:O16"/>
    <mergeCell ref="B20:O20"/>
    <mergeCell ref="B21:O21"/>
    <mergeCell ref="B22:O22"/>
  </mergeCells>
  <pageMargins left="0.25" right="0.25" top="0.75" bottom="0.75" header="0.3" footer="0.3"/>
  <pageSetup paperSize="9" scale="61" fitToHeight="0" orientation="landscape" verticalDpi="0" r:id="rId1"/>
  <tableParts count="1">
    <tablePart r:id="rId2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Planilha17">
    <pageSetUpPr fitToPage="1"/>
  </sheetPr>
  <dimension ref="A1:P13"/>
  <sheetViews>
    <sheetView zoomScale="80" zoomScaleNormal="80" workbookViewId="0">
      <selection activeCell="C3" sqref="C3:O9"/>
    </sheetView>
  </sheetViews>
  <sheetFormatPr defaultRowHeight="12.75" x14ac:dyDescent="0.2"/>
  <cols>
    <col min="1" max="1" width="3.42578125" style="7" bestFit="1" customWidth="1"/>
    <col min="2" max="2" width="34" style="7" customWidth="1"/>
    <col min="3" max="3" width="35.7109375" style="7" customWidth="1"/>
    <col min="4" max="7" width="14.28515625" style="2" bestFit="1" customWidth="1"/>
    <col min="8" max="15" width="13" style="2" bestFit="1" customWidth="1"/>
    <col min="16" max="16" width="21.42578125" style="2" bestFit="1" customWidth="1"/>
    <col min="17" max="16384" width="9.140625" style="2"/>
  </cols>
  <sheetData>
    <row r="1" spans="1:16" s="1" customFormat="1" ht="50.1" customHeight="1" thickBot="1" x14ac:dyDescent="0.3">
      <c r="A1" s="52" t="s">
        <v>92</v>
      </c>
      <c r="B1" s="53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9"/>
    </row>
    <row r="2" spans="1:16" s="1" customFormat="1" x14ac:dyDescent="0.25">
      <c r="A2" s="5" t="s">
        <v>25</v>
      </c>
      <c r="B2" s="5" t="s">
        <v>100</v>
      </c>
      <c r="C2" s="5" t="s">
        <v>31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24</v>
      </c>
      <c r="I2" s="3" t="s">
        <v>20</v>
      </c>
      <c r="J2" s="3" t="s">
        <v>21</v>
      </c>
      <c r="K2" s="3" t="s">
        <v>22</v>
      </c>
      <c r="L2" s="3" t="s">
        <v>29</v>
      </c>
      <c r="M2" s="3" t="s">
        <v>23</v>
      </c>
      <c r="N2" s="3" t="s">
        <v>27</v>
      </c>
      <c r="O2" s="3" t="s">
        <v>28</v>
      </c>
      <c r="P2" s="4" t="s">
        <v>2</v>
      </c>
    </row>
    <row r="3" spans="1:16" s="1" customFormat="1" x14ac:dyDescent="0.25">
      <c r="A3" s="8">
        <f>TabelaSalarioBase[[#This Row],[Nº]]</f>
        <v>1</v>
      </c>
      <c r="B3" s="8"/>
      <c r="C3" s="8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>
        <f>SUM(D3:O3)</f>
        <v>0</v>
      </c>
    </row>
    <row r="4" spans="1:16" s="1" customFormat="1" x14ac:dyDescent="0.25">
      <c r="A4" s="8">
        <f>TabelaSalarioBase[[#This Row],[Nº]]</f>
        <v>2</v>
      </c>
      <c r="B4" s="8"/>
      <c r="C4" s="8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1">
        <f t="shared" ref="P4:P12" si="0">SUM(D4:O4)</f>
        <v>0</v>
      </c>
    </row>
    <row r="5" spans="1:16" s="1" customFormat="1" x14ac:dyDescent="0.25">
      <c r="A5" s="8">
        <f>TabelaSalarioBase[[#This Row],[Nº]]</f>
        <v>3</v>
      </c>
      <c r="B5" s="8"/>
      <c r="C5" s="8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1">
        <f t="shared" si="0"/>
        <v>0</v>
      </c>
    </row>
    <row r="6" spans="1:16" s="1" customFormat="1" x14ac:dyDescent="0.25">
      <c r="A6" s="8">
        <f>TabelaSalarioBase[[#This Row],[Nº]]</f>
        <v>4</v>
      </c>
      <c r="B6" s="8"/>
      <c r="C6" s="8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1">
        <f t="shared" si="0"/>
        <v>0</v>
      </c>
    </row>
    <row r="7" spans="1:16" s="1" customFormat="1" x14ac:dyDescent="0.25">
      <c r="A7" s="8">
        <f>TabelaSalarioBase[[#This Row],[Nº]]</f>
        <v>5</v>
      </c>
      <c r="B7" s="8"/>
      <c r="C7" s="8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1">
        <f t="shared" si="0"/>
        <v>0</v>
      </c>
    </row>
    <row r="8" spans="1:16" s="1" customFormat="1" x14ac:dyDescent="0.25">
      <c r="A8" s="8">
        <f>TabelaSalarioBase[[#This Row],[Nº]]</f>
        <v>6</v>
      </c>
      <c r="B8" s="8"/>
      <c r="C8" s="8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1">
        <f t="shared" si="0"/>
        <v>0</v>
      </c>
    </row>
    <row r="9" spans="1:16" s="1" customFormat="1" x14ac:dyDescent="0.25">
      <c r="A9" s="8">
        <f>TabelaSalarioBase[[#This Row],[Nº]]</f>
        <v>7</v>
      </c>
      <c r="B9" s="8"/>
      <c r="C9" s="8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1">
        <f t="shared" si="0"/>
        <v>0</v>
      </c>
    </row>
    <row r="10" spans="1:16" s="1" customFormat="1" x14ac:dyDescent="0.25">
      <c r="A10" s="8">
        <f>TabelaSalarioBase[[#This Row],[Nº]]</f>
        <v>8</v>
      </c>
      <c r="B10" s="8"/>
      <c r="C10" s="8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1">
        <f t="shared" si="0"/>
        <v>0</v>
      </c>
    </row>
    <row r="11" spans="1:16" s="1" customFormat="1" x14ac:dyDescent="0.25">
      <c r="A11" s="8">
        <f>TabelaSalarioBase[[#This Row],[Nº]]</f>
        <v>9</v>
      </c>
      <c r="B11" s="8"/>
      <c r="C11" s="8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1">
        <f t="shared" si="0"/>
        <v>0</v>
      </c>
    </row>
    <row r="12" spans="1:16" s="1" customFormat="1" x14ac:dyDescent="0.25">
      <c r="A12" s="8">
        <f>TabelaSalarioBase[[#This Row],[Nº]]</f>
        <v>10</v>
      </c>
      <c r="B12" s="8"/>
      <c r="C12" s="8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1">
        <f t="shared" si="0"/>
        <v>0</v>
      </c>
    </row>
    <row r="13" spans="1:16" ht="18" x14ac:dyDescent="0.25">
      <c r="A13" s="50" t="s">
        <v>12</v>
      </c>
      <c r="B13" s="51"/>
      <c r="C13" s="51"/>
      <c r="D13" s="44">
        <f>SUM(TabelaPermanentes[Janeiro])</f>
        <v>0</v>
      </c>
      <c r="E13" s="44">
        <f>SUM(TabelaPermanentes[Fevereiro])</f>
        <v>0</v>
      </c>
      <c r="F13" s="44">
        <f>SUM(TabelaPermanentes[Março])</f>
        <v>0</v>
      </c>
      <c r="G13" s="44">
        <f>SUM(TabelaPermanentes[Abril])</f>
        <v>0</v>
      </c>
      <c r="H13" s="44">
        <f>SUM(TabelaPermanentes[Maio])</f>
        <v>0</v>
      </c>
      <c r="I13" s="44">
        <f>SUM(TabelaPermanentes[Junho])</f>
        <v>0</v>
      </c>
      <c r="J13" s="44">
        <f>SUM(TabelaPermanentes[Julho])</f>
        <v>0</v>
      </c>
      <c r="K13" s="44">
        <f>SUM(TabelaPermanentes[Agosto])</f>
        <v>0</v>
      </c>
      <c r="L13" s="44">
        <f>SUM(TabelaPermanentes[Setembro])</f>
        <v>0</v>
      </c>
      <c r="M13" s="44">
        <f>SUM(TabelaPermanentes[Outubro])</f>
        <v>0</v>
      </c>
      <c r="N13" s="44">
        <f>SUM(TabelaPermanentes[Novembro])</f>
        <v>0</v>
      </c>
      <c r="O13" s="44">
        <f>SUM(TabelaPermanentes[Dezembro])</f>
        <v>0</v>
      </c>
      <c r="P13" s="22">
        <f>SUM(P3:P12)</f>
        <v>0</v>
      </c>
    </row>
  </sheetData>
  <mergeCells count="2">
    <mergeCell ref="A1:P1"/>
    <mergeCell ref="A13:C13"/>
  </mergeCells>
  <dataValidations count="1">
    <dataValidation type="list" allowBlank="1" showInputMessage="1" showErrorMessage="1" sqref="C3:C12" xr:uid="{00000000-0002-0000-1000-000000000000}">
      <formula1>"Bens e Equipamentos de Informática,Bens e Equipamentos Hospitalares,Outros Bens e Materiais Permanentes"</formula1>
    </dataValidation>
  </dataValidations>
  <pageMargins left="0.25" right="0.25" top="0.75" bottom="0.75" header="0.3" footer="0.3"/>
  <pageSetup paperSize="9" scale="55" fitToHeight="0" orientation="landscape" verticalDpi="0" r:id="rId1"/>
  <tableParts count="1">
    <tablePart r:id="rId2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Planilha18">
    <pageSetUpPr fitToPage="1"/>
  </sheetPr>
  <dimension ref="A1:P13"/>
  <sheetViews>
    <sheetView zoomScale="80" zoomScaleNormal="80" workbookViewId="0">
      <selection activeCell="C3" sqref="C3:O7"/>
    </sheetView>
  </sheetViews>
  <sheetFormatPr defaultRowHeight="12.75" x14ac:dyDescent="0.2"/>
  <cols>
    <col min="1" max="1" width="3.42578125" style="7" bestFit="1" customWidth="1"/>
    <col min="2" max="2" width="34" style="7" customWidth="1"/>
    <col min="3" max="3" width="35.7109375" style="7" customWidth="1"/>
    <col min="4" max="4" width="14.28515625" style="2" customWidth="1"/>
    <col min="5" max="15" width="14.28515625" style="2" bestFit="1" customWidth="1"/>
    <col min="16" max="16" width="21.42578125" style="2" bestFit="1" customWidth="1"/>
    <col min="17" max="16384" width="9.140625" style="2"/>
  </cols>
  <sheetData>
    <row r="1" spans="1:16" s="1" customFormat="1" ht="50.1" customHeight="1" thickBot="1" x14ac:dyDescent="0.3">
      <c r="A1" s="52" t="s">
        <v>93</v>
      </c>
      <c r="B1" s="53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9"/>
    </row>
    <row r="2" spans="1:16" s="1" customFormat="1" x14ac:dyDescent="0.25">
      <c r="A2" s="5" t="s">
        <v>25</v>
      </c>
      <c r="B2" s="5" t="s">
        <v>100</v>
      </c>
      <c r="C2" s="5" t="s">
        <v>31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24</v>
      </c>
      <c r="I2" s="3" t="s">
        <v>20</v>
      </c>
      <c r="J2" s="3" t="s">
        <v>21</v>
      </c>
      <c r="K2" s="3" t="s">
        <v>22</v>
      </c>
      <c r="L2" s="3" t="s">
        <v>29</v>
      </c>
      <c r="M2" s="3" t="s">
        <v>23</v>
      </c>
      <c r="N2" s="3" t="s">
        <v>27</v>
      </c>
      <c r="O2" s="3" t="s">
        <v>28</v>
      </c>
      <c r="P2" s="4" t="s">
        <v>2</v>
      </c>
    </row>
    <row r="3" spans="1:16" s="1" customFormat="1" x14ac:dyDescent="0.25">
      <c r="A3" s="8">
        <f>TabelaSalarioBase[[#This Row],[Nº]]</f>
        <v>1</v>
      </c>
      <c r="B3" s="8"/>
      <c r="C3" s="8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>
        <f>SUM(D3:O3)</f>
        <v>0</v>
      </c>
    </row>
    <row r="4" spans="1:16" s="1" customFormat="1" x14ac:dyDescent="0.25">
      <c r="A4" s="8">
        <f>TabelaSalarioBase[[#This Row],[Nº]]</f>
        <v>2</v>
      </c>
      <c r="B4" s="8"/>
      <c r="C4" s="8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1">
        <f t="shared" ref="P4:P12" si="0">SUM(D4:O4)</f>
        <v>0</v>
      </c>
    </row>
    <row r="5" spans="1:16" s="1" customFormat="1" x14ac:dyDescent="0.25">
      <c r="A5" s="8">
        <f>TabelaSalarioBase[[#This Row],[Nº]]</f>
        <v>3</v>
      </c>
      <c r="B5" s="8"/>
      <c r="C5" s="8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1">
        <f t="shared" si="0"/>
        <v>0</v>
      </c>
    </row>
    <row r="6" spans="1:16" s="1" customFormat="1" x14ac:dyDescent="0.25">
      <c r="A6" s="8">
        <f>TabelaSalarioBase[[#This Row],[Nº]]</f>
        <v>4</v>
      </c>
      <c r="B6" s="8"/>
      <c r="C6" s="8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1">
        <f t="shared" si="0"/>
        <v>0</v>
      </c>
    </row>
    <row r="7" spans="1:16" s="1" customFormat="1" x14ac:dyDescent="0.25">
      <c r="A7" s="8">
        <f>TabelaSalarioBase[[#This Row],[Nº]]</f>
        <v>5</v>
      </c>
      <c r="B7" s="8"/>
      <c r="C7" s="8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1">
        <f t="shared" si="0"/>
        <v>0</v>
      </c>
    </row>
    <row r="8" spans="1:16" s="1" customFormat="1" x14ac:dyDescent="0.25">
      <c r="A8" s="8">
        <f>TabelaSalarioBase[[#This Row],[Nº]]</f>
        <v>6</v>
      </c>
      <c r="B8" s="8"/>
      <c r="C8" s="8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1">
        <f t="shared" si="0"/>
        <v>0</v>
      </c>
    </row>
    <row r="9" spans="1:16" s="1" customFormat="1" x14ac:dyDescent="0.25">
      <c r="A9" s="8">
        <f>TabelaSalarioBase[[#This Row],[Nº]]</f>
        <v>7</v>
      </c>
      <c r="B9" s="8"/>
      <c r="C9" s="8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1">
        <f t="shared" si="0"/>
        <v>0</v>
      </c>
    </row>
    <row r="10" spans="1:16" s="1" customFormat="1" x14ac:dyDescent="0.25">
      <c r="A10" s="8">
        <f>TabelaSalarioBase[[#This Row],[Nº]]</f>
        <v>8</v>
      </c>
      <c r="B10" s="8"/>
      <c r="C10" s="8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1">
        <f t="shared" si="0"/>
        <v>0</v>
      </c>
    </row>
    <row r="11" spans="1:16" s="1" customFormat="1" x14ac:dyDescent="0.25">
      <c r="A11" s="8">
        <f>TabelaSalarioBase[[#This Row],[Nº]]</f>
        <v>9</v>
      </c>
      <c r="B11" s="8"/>
      <c r="C11" s="8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1">
        <f t="shared" si="0"/>
        <v>0</v>
      </c>
    </row>
    <row r="12" spans="1:16" s="1" customFormat="1" x14ac:dyDescent="0.25">
      <c r="A12" s="8">
        <f>TabelaSalarioBase[[#This Row],[Nº]]</f>
        <v>10</v>
      </c>
      <c r="B12" s="8"/>
      <c r="C12" s="8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1">
        <f t="shared" si="0"/>
        <v>0</v>
      </c>
    </row>
    <row r="13" spans="1:16" ht="18" x14ac:dyDescent="0.25">
      <c r="A13" s="50" t="s">
        <v>12</v>
      </c>
      <c r="B13" s="51"/>
      <c r="C13" s="51"/>
      <c r="D13" s="44">
        <f>SUM(TabelaServicosMedicos[Janeiro])</f>
        <v>0</v>
      </c>
      <c r="E13" s="44">
        <f>SUM(TabelaServicosMedicos[Fevereiro])</f>
        <v>0</v>
      </c>
      <c r="F13" s="44">
        <f>SUM(TabelaServicosMedicos[Março])</f>
        <v>0</v>
      </c>
      <c r="G13" s="44">
        <f>SUM(TabelaServicosMedicos[Abril])</f>
        <v>0</v>
      </c>
      <c r="H13" s="44">
        <f>SUM(TabelaServicosMedicos[Maio])</f>
        <v>0</v>
      </c>
      <c r="I13" s="44">
        <f>SUM(TabelaServicosMedicos[Junho])</f>
        <v>0</v>
      </c>
      <c r="J13" s="44">
        <f>SUM(TabelaServicosMedicos[Julho])</f>
        <v>0</v>
      </c>
      <c r="K13" s="44">
        <f>SUM(TabelaServicosMedicos[Agosto])</f>
        <v>0</v>
      </c>
      <c r="L13" s="44">
        <f>SUM(TabelaServicosMedicos[Setembro])</f>
        <v>0</v>
      </c>
      <c r="M13" s="44">
        <f>SUM(TabelaServicosMedicos[Outubro])</f>
        <v>0</v>
      </c>
      <c r="N13" s="44">
        <f>SUM(TabelaServicosMedicos[Novembro])</f>
        <v>0</v>
      </c>
      <c r="O13" s="44">
        <f>SUM(TabelaServicosMedicos[Dezembro])</f>
        <v>0</v>
      </c>
      <c r="P13" s="22">
        <f>SUM(P3:P12)</f>
        <v>0</v>
      </c>
    </row>
  </sheetData>
  <mergeCells count="2">
    <mergeCell ref="A1:P1"/>
    <mergeCell ref="A13:C13"/>
  </mergeCells>
  <dataValidations count="1">
    <dataValidation type="list" allowBlank="1" showInputMessage="1" showErrorMessage="1" sqref="C3:C12" xr:uid="{00000000-0002-0000-1100-000000000000}">
      <formula1>"Serviços Médicos Pessoa Física,Serviços Médicos Pessoa Jurídica"</formula1>
    </dataValidation>
  </dataValidations>
  <pageMargins left="0.25" right="0.25" top="0.75" bottom="0.75" header="0.3" footer="0.3"/>
  <pageSetup paperSize="9" scale="53" fitToHeight="0" orientation="landscape" verticalDpi="0" r:id="rId1"/>
  <tableParts count="1">
    <tablePart r:id="rId2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Planilha19">
    <pageSetUpPr fitToPage="1"/>
  </sheetPr>
  <dimension ref="A1:P13"/>
  <sheetViews>
    <sheetView zoomScale="80" zoomScaleNormal="80" workbookViewId="0">
      <selection activeCell="C3" sqref="C3:O7"/>
    </sheetView>
  </sheetViews>
  <sheetFormatPr defaultRowHeight="12.75" x14ac:dyDescent="0.2"/>
  <cols>
    <col min="1" max="1" width="3.42578125" style="7" bestFit="1" customWidth="1"/>
    <col min="2" max="2" width="34" style="7" customWidth="1"/>
    <col min="3" max="3" width="35.7109375" style="7" customWidth="1"/>
    <col min="4" max="7" width="14.28515625" style="2" bestFit="1" customWidth="1"/>
    <col min="8" max="15" width="13" style="2" bestFit="1" customWidth="1"/>
    <col min="16" max="16" width="21.42578125" style="2" bestFit="1" customWidth="1"/>
    <col min="17" max="16384" width="9.140625" style="2"/>
  </cols>
  <sheetData>
    <row r="1" spans="1:16" s="1" customFormat="1" ht="50.1" customHeight="1" thickBot="1" x14ac:dyDescent="0.3">
      <c r="A1" s="52" t="s">
        <v>98</v>
      </c>
      <c r="B1" s="53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9"/>
    </row>
    <row r="2" spans="1:16" s="1" customFormat="1" x14ac:dyDescent="0.25">
      <c r="A2" s="5" t="s">
        <v>25</v>
      </c>
      <c r="B2" s="5" t="s">
        <v>100</v>
      </c>
      <c r="C2" s="5" t="s">
        <v>31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24</v>
      </c>
      <c r="I2" s="3" t="s">
        <v>20</v>
      </c>
      <c r="J2" s="3" t="s">
        <v>21</v>
      </c>
      <c r="K2" s="3" t="s">
        <v>22</v>
      </c>
      <c r="L2" s="3" t="s">
        <v>29</v>
      </c>
      <c r="M2" s="3" t="s">
        <v>23</v>
      </c>
      <c r="N2" s="3" t="s">
        <v>27</v>
      </c>
      <c r="O2" s="3" t="s">
        <v>28</v>
      </c>
      <c r="P2" s="4" t="s">
        <v>2</v>
      </c>
    </row>
    <row r="3" spans="1:16" s="1" customFormat="1" x14ac:dyDescent="0.25">
      <c r="A3" s="8">
        <f>TabelaSalarioBase[[#This Row],[Nº]]</f>
        <v>1</v>
      </c>
      <c r="B3" s="8"/>
      <c r="C3" s="8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>
        <f>SUM(D3:O3)</f>
        <v>0</v>
      </c>
    </row>
    <row r="4" spans="1:16" s="1" customFormat="1" x14ac:dyDescent="0.25">
      <c r="A4" s="8">
        <f>TabelaSalarioBase[[#This Row],[Nº]]</f>
        <v>2</v>
      </c>
      <c r="B4" s="8"/>
      <c r="C4" s="8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1">
        <f t="shared" ref="P4:P12" si="0">SUM(D4:O4)</f>
        <v>0</v>
      </c>
    </row>
    <row r="5" spans="1:16" s="1" customFormat="1" x14ac:dyDescent="0.25">
      <c r="A5" s="8">
        <f>TabelaSalarioBase[[#This Row],[Nº]]</f>
        <v>3</v>
      </c>
      <c r="B5" s="8"/>
      <c r="C5" s="8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1">
        <f t="shared" si="0"/>
        <v>0</v>
      </c>
    </row>
    <row r="6" spans="1:16" s="1" customFormat="1" x14ac:dyDescent="0.25">
      <c r="A6" s="8">
        <f>TabelaSalarioBase[[#This Row],[Nº]]</f>
        <v>4</v>
      </c>
      <c r="B6" s="8"/>
      <c r="C6" s="8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1">
        <f t="shared" si="0"/>
        <v>0</v>
      </c>
    </row>
    <row r="7" spans="1:16" s="1" customFormat="1" x14ac:dyDescent="0.25">
      <c r="A7" s="8">
        <f>TabelaSalarioBase[[#This Row],[Nº]]</f>
        <v>5</v>
      </c>
      <c r="B7" s="8"/>
      <c r="C7" s="8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1">
        <f t="shared" si="0"/>
        <v>0</v>
      </c>
    </row>
    <row r="8" spans="1:16" s="1" customFormat="1" x14ac:dyDescent="0.25">
      <c r="A8" s="8">
        <f>TabelaSalarioBase[[#This Row],[Nº]]</f>
        <v>6</v>
      </c>
      <c r="B8" s="8"/>
      <c r="C8" s="8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1">
        <f t="shared" si="0"/>
        <v>0</v>
      </c>
    </row>
    <row r="9" spans="1:16" s="1" customFormat="1" x14ac:dyDescent="0.25">
      <c r="A9" s="8">
        <f>TabelaSalarioBase[[#This Row],[Nº]]</f>
        <v>7</v>
      </c>
      <c r="B9" s="8"/>
      <c r="C9" s="8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1">
        <f t="shared" si="0"/>
        <v>0</v>
      </c>
    </row>
    <row r="10" spans="1:16" s="1" customFormat="1" x14ac:dyDescent="0.25">
      <c r="A10" s="8">
        <f>TabelaSalarioBase[[#This Row],[Nº]]</f>
        <v>8</v>
      </c>
      <c r="B10" s="8"/>
      <c r="C10" s="8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1">
        <f t="shared" si="0"/>
        <v>0</v>
      </c>
    </row>
    <row r="11" spans="1:16" s="1" customFormat="1" x14ac:dyDescent="0.25">
      <c r="A11" s="8">
        <f>TabelaSalarioBase[[#This Row],[Nº]]</f>
        <v>9</v>
      </c>
      <c r="B11" s="8"/>
      <c r="C11" s="8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1">
        <f t="shared" si="0"/>
        <v>0</v>
      </c>
    </row>
    <row r="12" spans="1:16" s="1" customFormat="1" x14ac:dyDescent="0.25">
      <c r="A12" s="8">
        <f>TabelaSalarioBase[[#This Row],[Nº]]</f>
        <v>10</v>
      </c>
      <c r="B12" s="8"/>
      <c r="C12" s="8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1">
        <f t="shared" si="0"/>
        <v>0</v>
      </c>
    </row>
    <row r="13" spans="1:16" ht="18" x14ac:dyDescent="0.25">
      <c r="A13" s="50" t="s">
        <v>12</v>
      </c>
      <c r="B13" s="51"/>
      <c r="C13" s="51"/>
      <c r="D13" s="44">
        <f>SUM(TabelaMaterialMedicoHospitalar[Janeiro])</f>
        <v>0</v>
      </c>
      <c r="E13" s="44">
        <f>SUM(TabelaMaterialMedicoHospitalar[Fevereiro])</f>
        <v>0</v>
      </c>
      <c r="F13" s="44">
        <f>SUM(TabelaMaterialMedicoHospitalar[Março])</f>
        <v>0</v>
      </c>
      <c r="G13" s="44">
        <f>SUM(TabelaMaterialMedicoHospitalar[Abril])</f>
        <v>0</v>
      </c>
      <c r="H13" s="44">
        <f>SUM(TabelaMaterialMedicoHospitalar[Maio])</f>
        <v>0</v>
      </c>
      <c r="I13" s="44">
        <f>SUM(TabelaMaterialMedicoHospitalar[Junho])</f>
        <v>0</v>
      </c>
      <c r="J13" s="44">
        <f>SUM(TabelaMaterialMedicoHospitalar[Julho])</f>
        <v>0</v>
      </c>
      <c r="K13" s="44">
        <f>SUM(TabelaMaterialMedicoHospitalar[Agosto])</f>
        <v>0</v>
      </c>
      <c r="L13" s="44">
        <f>SUM(TabelaMaterialMedicoHospitalar[Setembro])</f>
        <v>0</v>
      </c>
      <c r="M13" s="44">
        <f>SUM(TabelaMaterialMedicoHospitalar[Outubro])</f>
        <v>0</v>
      </c>
      <c r="N13" s="44">
        <f>SUM(TabelaMaterialMedicoHospitalar[Novembro])</f>
        <v>0</v>
      </c>
      <c r="O13" s="44">
        <f>SUM(TabelaMaterialMedicoHospitalar[Dezembro])</f>
        <v>0</v>
      </c>
      <c r="P13" s="22">
        <f>SUM(P3:P12)</f>
        <v>0</v>
      </c>
    </row>
  </sheetData>
  <mergeCells count="2">
    <mergeCell ref="A1:P1"/>
    <mergeCell ref="A13:C13"/>
  </mergeCells>
  <dataValidations count="1">
    <dataValidation type="list" allowBlank="1" showInputMessage="1" showErrorMessage="1" sqref="C3:C12" xr:uid="{00000000-0002-0000-1200-000000000000}">
      <formula1>"Material Médico e Hospitalar"</formula1>
    </dataValidation>
  </dataValidations>
  <pageMargins left="0.25" right="0.25" top="0.75" bottom="0.75" header="0.3" footer="0.3"/>
  <pageSetup paperSize="9" scale="55" fitToHeight="0" orientation="landscape" verticalDpi="0" r:id="rId1"/>
  <tableParts count="1">
    <tablePart r:id="rId2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Planilha20">
    <pageSetUpPr fitToPage="1"/>
  </sheetPr>
  <dimension ref="A1:P13"/>
  <sheetViews>
    <sheetView zoomScale="80" zoomScaleNormal="80" workbookViewId="0">
      <selection activeCell="K21" sqref="K21"/>
    </sheetView>
  </sheetViews>
  <sheetFormatPr defaultRowHeight="12.75" x14ac:dyDescent="0.2"/>
  <cols>
    <col min="1" max="1" width="3.42578125" style="7" bestFit="1" customWidth="1"/>
    <col min="2" max="2" width="34" style="7" customWidth="1"/>
    <col min="3" max="3" width="35.7109375" style="7" customWidth="1"/>
    <col min="4" max="4" width="14.28515625" style="2" customWidth="1"/>
    <col min="5" max="7" width="14.28515625" style="2" bestFit="1" customWidth="1"/>
    <col min="8" max="15" width="13" style="2" bestFit="1" customWidth="1"/>
    <col min="16" max="16" width="21.42578125" style="2" bestFit="1" customWidth="1"/>
    <col min="17" max="16384" width="9.140625" style="2"/>
  </cols>
  <sheetData>
    <row r="1" spans="1:16" s="1" customFormat="1" ht="50.1" customHeight="1" thickBot="1" x14ac:dyDescent="0.3">
      <c r="A1" s="52" t="s">
        <v>99</v>
      </c>
      <c r="B1" s="53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9"/>
    </row>
    <row r="2" spans="1:16" s="1" customFormat="1" x14ac:dyDescent="0.25">
      <c r="A2" s="5" t="s">
        <v>25</v>
      </c>
      <c r="B2" s="5" t="s">
        <v>100</v>
      </c>
      <c r="C2" s="5" t="s">
        <v>31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24</v>
      </c>
      <c r="I2" s="3" t="s">
        <v>20</v>
      </c>
      <c r="J2" s="3" t="s">
        <v>21</v>
      </c>
      <c r="K2" s="3" t="s">
        <v>22</v>
      </c>
      <c r="L2" s="3" t="s">
        <v>29</v>
      </c>
      <c r="M2" s="3" t="s">
        <v>23</v>
      </c>
      <c r="N2" s="3" t="s">
        <v>27</v>
      </c>
      <c r="O2" s="3" t="s">
        <v>28</v>
      </c>
      <c r="P2" s="4" t="s">
        <v>2</v>
      </c>
    </row>
    <row r="3" spans="1:16" s="1" customFormat="1" x14ac:dyDescent="0.25">
      <c r="A3" s="8">
        <f>TabelaSalarioBase[[#This Row],[Nº]]</f>
        <v>1</v>
      </c>
      <c r="B3" s="8"/>
      <c r="C3" s="8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>
        <f>SUM(D3:O3)</f>
        <v>0</v>
      </c>
    </row>
    <row r="4" spans="1:16" s="1" customFormat="1" x14ac:dyDescent="0.25">
      <c r="A4" s="8">
        <f>TabelaSalarioBase[[#This Row],[Nº]]</f>
        <v>2</v>
      </c>
      <c r="B4" s="8"/>
      <c r="C4" s="8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1">
        <f t="shared" ref="P4:P12" si="0">SUM(D4:O4)</f>
        <v>0</v>
      </c>
    </row>
    <row r="5" spans="1:16" s="1" customFormat="1" x14ac:dyDescent="0.25">
      <c r="A5" s="8">
        <f>TabelaSalarioBase[[#This Row],[Nº]]</f>
        <v>3</v>
      </c>
      <c r="B5" s="8"/>
      <c r="C5" s="8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1">
        <f t="shared" si="0"/>
        <v>0</v>
      </c>
    </row>
    <row r="6" spans="1:16" s="1" customFormat="1" x14ac:dyDescent="0.25">
      <c r="A6" s="8">
        <f>TabelaSalarioBase[[#This Row],[Nº]]</f>
        <v>4</v>
      </c>
      <c r="B6" s="8"/>
      <c r="C6" s="8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1">
        <f t="shared" si="0"/>
        <v>0</v>
      </c>
    </row>
    <row r="7" spans="1:16" s="1" customFormat="1" x14ac:dyDescent="0.25">
      <c r="A7" s="8">
        <f>TabelaSalarioBase[[#This Row],[Nº]]</f>
        <v>5</v>
      </c>
      <c r="B7" s="8"/>
      <c r="C7" s="8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1">
        <f t="shared" si="0"/>
        <v>0</v>
      </c>
    </row>
    <row r="8" spans="1:16" s="1" customFormat="1" x14ac:dyDescent="0.25">
      <c r="A8" s="8">
        <f>TabelaSalarioBase[[#This Row],[Nº]]</f>
        <v>6</v>
      </c>
      <c r="B8" s="8"/>
      <c r="C8" s="8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1">
        <f t="shared" si="0"/>
        <v>0</v>
      </c>
    </row>
    <row r="9" spans="1:16" s="1" customFormat="1" x14ac:dyDescent="0.25">
      <c r="A9" s="8">
        <f>TabelaSalarioBase[[#This Row],[Nº]]</f>
        <v>7</v>
      </c>
      <c r="B9" s="8"/>
      <c r="C9" s="8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1">
        <f t="shared" si="0"/>
        <v>0</v>
      </c>
    </row>
    <row r="10" spans="1:16" s="1" customFormat="1" x14ac:dyDescent="0.25">
      <c r="A10" s="8">
        <f>TabelaSalarioBase[[#This Row],[Nº]]</f>
        <v>8</v>
      </c>
      <c r="B10" s="8"/>
      <c r="C10" s="8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1">
        <f t="shared" si="0"/>
        <v>0</v>
      </c>
    </row>
    <row r="11" spans="1:16" s="1" customFormat="1" x14ac:dyDescent="0.25">
      <c r="A11" s="8">
        <f>TabelaSalarioBase[[#This Row],[Nº]]</f>
        <v>9</v>
      </c>
      <c r="B11" s="8"/>
      <c r="C11" s="8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1">
        <f t="shared" si="0"/>
        <v>0</v>
      </c>
    </row>
    <row r="12" spans="1:16" s="1" customFormat="1" x14ac:dyDescent="0.25">
      <c r="A12" s="8">
        <f>TabelaSalarioBase[[#This Row],[Nº]]</f>
        <v>10</v>
      </c>
      <c r="B12" s="8"/>
      <c r="C12" s="8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1">
        <f t="shared" si="0"/>
        <v>0</v>
      </c>
    </row>
    <row r="13" spans="1:16" ht="18" x14ac:dyDescent="0.25">
      <c r="A13" s="50" t="s">
        <v>12</v>
      </c>
      <c r="B13" s="51"/>
      <c r="C13" s="51"/>
      <c r="D13" s="44">
        <f>SUM(TabelaMedicamentos[Janeiro])</f>
        <v>0</v>
      </c>
      <c r="E13" s="44">
        <f>SUM(TabelaMedicamentos[Fevereiro])</f>
        <v>0</v>
      </c>
      <c r="F13" s="44">
        <f>SUM(TabelaMedicamentos[Março])</f>
        <v>0</v>
      </c>
      <c r="G13" s="44">
        <f>SUM(TabelaMedicamentos[Abril])</f>
        <v>0</v>
      </c>
      <c r="H13" s="44">
        <f>SUM(TabelaMedicamentos[Maio])</f>
        <v>0</v>
      </c>
      <c r="I13" s="44">
        <f>SUM(TabelaMedicamentos[Junho])</f>
        <v>0</v>
      </c>
      <c r="J13" s="44">
        <f>SUM(TabelaMedicamentos[Julho])</f>
        <v>0</v>
      </c>
      <c r="K13" s="44">
        <f>SUM(TabelaMedicamentos[Agosto])</f>
        <v>0</v>
      </c>
      <c r="L13" s="44">
        <f>SUM(TabelaMedicamentos[Setembro])</f>
        <v>0</v>
      </c>
      <c r="M13" s="44">
        <f>SUM(TabelaMedicamentos[Outubro])</f>
        <v>0</v>
      </c>
      <c r="N13" s="44">
        <f>SUM(TabelaMedicamentos[Novembro])</f>
        <v>0</v>
      </c>
      <c r="O13" s="44">
        <f>SUM(TabelaMedicamentos[Dezembro])</f>
        <v>0</v>
      </c>
      <c r="P13" s="22">
        <f>SUM(P3:P12)</f>
        <v>0</v>
      </c>
    </row>
  </sheetData>
  <mergeCells count="2">
    <mergeCell ref="A1:P1"/>
    <mergeCell ref="A13:C13"/>
  </mergeCells>
  <dataValidations count="1">
    <dataValidation type="list" allowBlank="1" showInputMessage="1" showErrorMessage="1" sqref="C3:C12" xr:uid="{00000000-0002-0000-1300-000000000000}">
      <formula1>"Medicamentos"</formula1>
    </dataValidation>
  </dataValidations>
  <pageMargins left="0.25" right="0.25" top="0.75" bottom="0.75" header="0.3" footer="0.3"/>
  <pageSetup paperSize="9" scale="55" fitToHeight="0" orientation="landscape" verticalDpi="0" r:id="rId1"/>
  <tableParts count="1">
    <tablePart r:id="rId2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Planilha21">
    <pageSetUpPr fitToPage="1"/>
  </sheetPr>
  <dimension ref="A1:O49"/>
  <sheetViews>
    <sheetView zoomScale="80" zoomScaleNormal="80" workbookViewId="0">
      <selection activeCell="B4" sqref="B4"/>
    </sheetView>
  </sheetViews>
  <sheetFormatPr defaultRowHeight="12.75" x14ac:dyDescent="0.2"/>
  <cols>
    <col min="1" max="1" width="15.85546875" style="2" customWidth="1"/>
    <col min="2" max="2" width="34" style="7" customWidth="1"/>
    <col min="3" max="14" width="15.28515625" style="2" bestFit="1" customWidth="1"/>
    <col min="15" max="15" width="26.140625" style="2" customWidth="1"/>
    <col min="16" max="16384" width="9.140625" style="2"/>
  </cols>
  <sheetData>
    <row r="1" spans="1:15" s="1" customFormat="1" ht="50.1" customHeight="1" x14ac:dyDescent="0.25">
      <c r="A1" s="67" t="s">
        <v>94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8"/>
    </row>
    <row r="2" spans="1:15" s="1" customFormat="1" x14ac:dyDescent="0.25">
      <c r="A2" s="27"/>
      <c r="B2" s="5" t="s">
        <v>31</v>
      </c>
      <c r="C2" s="3" t="s">
        <v>16</v>
      </c>
      <c r="D2" s="3" t="s">
        <v>17</v>
      </c>
      <c r="E2" s="3" t="s">
        <v>18</v>
      </c>
      <c r="F2" s="3" t="s">
        <v>19</v>
      </c>
      <c r="G2" s="3" t="s">
        <v>24</v>
      </c>
      <c r="H2" s="3" t="s">
        <v>20</v>
      </c>
      <c r="I2" s="3" t="s">
        <v>21</v>
      </c>
      <c r="J2" s="3" t="s">
        <v>22</v>
      </c>
      <c r="K2" s="3" t="s">
        <v>29</v>
      </c>
      <c r="L2" s="3" t="s">
        <v>23</v>
      </c>
      <c r="M2" s="3" t="s">
        <v>27</v>
      </c>
      <c r="N2" s="3" t="s">
        <v>28</v>
      </c>
      <c r="O2" s="4" t="s">
        <v>2</v>
      </c>
    </row>
    <row r="3" spans="1:15" s="1" customFormat="1" x14ac:dyDescent="0.25">
      <c r="A3" s="66" t="s">
        <v>45</v>
      </c>
      <c r="B3" s="8" t="s">
        <v>101</v>
      </c>
      <c r="C3" s="10">
        <f>SUM(TabelaSalarioBase[Janeiro])</f>
        <v>0</v>
      </c>
      <c r="D3" s="10">
        <f>SUM(TabelaSalarioBase[Fevereiro])</f>
        <v>0</v>
      </c>
      <c r="E3" s="10">
        <f>SUM(TabelaSalarioBase[Março])</f>
        <v>0</v>
      </c>
      <c r="F3" s="10">
        <f>SUM(TabelaSalarioBase[Abril])</f>
        <v>0</v>
      </c>
      <c r="G3" s="10">
        <f>SUM(TabelaSalarioBase[Maio])</f>
        <v>0</v>
      </c>
      <c r="H3" s="10">
        <f>SUM(TabelaSalarioBase[Junho])</f>
        <v>0</v>
      </c>
      <c r="I3" s="10">
        <f>SUM(TabelaSalarioBase[Julho])</f>
        <v>0</v>
      </c>
      <c r="J3" s="10">
        <f>SUM(TabelaSalarioBase[Agosto])</f>
        <v>0</v>
      </c>
      <c r="K3" s="10">
        <f>SUM(TabelaSalarioBase[Setembro])</f>
        <v>0</v>
      </c>
      <c r="L3" s="10">
        <f>SUM(TabelaSalarioBase[Outubro])</f>
        <v>0</v>
      </c>
      <c r="M3" s="10">
        <f>SUM(TabelaSalarioBase[Novembro])</f>
        <v>0</v>
      </c>
      <c r="N3" s="10">
        <f>SUM(TabelaSalarioBase[Dezembro])</f>
        <v>0</v>
      </c>
      <c r="O3" s="11">
        <f>SUM(C3:N3)</f>
        <v>0</v>
      </c>
    </row>
    <row r="4" spans="1:15" s="1" customFormat="1" x14ac:dyDescent="0.25">
      <c r="A4" s="66"/>
      <c r="B4" s="8" t="s">
        <v>11</v>
      </c>
      <c r="C4" s="12">
        <f>SUM(TabelaIRPF[Janeiro])+SUMIF(TabelaFERIAS[Parcela],"Janeiro",TabelaFERIAS[IRPF])</f>
        <v>0</v>
      </c>
      <c r="D4" s="12">
        <f>SUM(TabelaIRPF[Fevereiro])+SUMIF(TabelaFERIAS[Parcela],"Fevereiro",TabelaFERIAS[IRPF])</f>
        <v>0</v>
      </c>
      <c r="E4" s="12">
        <f>SUM(TabelaIRPF[Março])+SUMIF(TabelaFERIAS[Parcela],"Março",TabelaFERIAS[IRPF])</f>
        <v>0</v>
      </c>
      <c r="F4" s="12">
        <f>SUM(TabelaIRPF[Abril])+SUMIF(TabelaFERIAS[Parcela],"Abril",TabelaFERIAS[IRPF])</f>
        <v>0</v>
      </c>
      <c r="G4" s="12">
        <f>SUM(TabelaIRPF[Maio])+SUMIF(TabelaFERIAS[Parcela],"Maio",TabelaFERIAS[IRPF])</f>
        <v>0</v>
      </c>
      <c r="H4" s="12">
        <f>SUM(TabelaIRPF[Junho])+SUMIF(TabelaFERIAS[Parcela],"Junho",TabelaFERIAS[IRPF])</f>
        <v>0</v>
      </c>
      <c r="I4" s="12">
        <f>SUM(TabelaIRPF[Julho])+SUMIF(TabelaFERIAS[Parcela],"Julho",TabelaFERIAS[IRPF])</f>
        <v>0</v>
      </c>
      <c r="J4" s="12">
        <f>SUM(TabelaIRPF[Agosto])+SUMIF(TabelaFERIAS[Parcela],"Agosto",TabelaFERIAS[IRPF])</f>
        <v>0</v>
      </c>
      <c r="K4" s="12">
        <f>SUM(TabelaIRPF[Setembro])+SUMIF(TabelaFERIAS[Parcela],"Setembro",TabelaFERIAS[IRPF])</f>
        <v>0</v>
      </c>
      <c r="L4" s="12">
        <f>SUM(TabelaIRPF[Outubro])+SUMIF(TabelaFERIAS[Parcela],"Outubro",TabelaFERIAS[IRPF])</f>
        <v>0</v>
      </c>
      <c r="M4" s="12">
        <f>SUM(TabelaIRPF[Novembro])+SUM(Tabela13Salario[IRPF])+SUMIF(TabelaFERIAS[Parcela],"Novembro",TabelaFERIAS[IRPF])</f>
        <v>0</v>
      </c>
      <c r="N4" s="12">
        <f>SUM(TabelaIRPF[Dezembro])+SUMIF(TabelaFERIAS[Parcela],"Dezembro",TabelaFERIAS[IRPF])</f>
        <v>0</v>
      </c>
      <c r="O4" s="11">
        <f t="shared" ref="O4" si="0">SUM(C4:N4)</f>
        <v>0</v>
      </c>
    </row>
    <row r="5" spans="1:15" s="1" customFormat="1" x14ac:dyDescent="0.25">
      <c r="A5" s="66"/>
      <c r="B5" s="8" t="s">
        <v>3</v>
      </c>
      <c r="C5" s="12">
        <f>SUM(TabelaINSS[Janeiro])+SUMIF(TabelaFERIAS[Parcela],"Janeiro",TabelaFERIAS[INSS])</f>
        <v>0</v>
      </c>
      <c r="D5" s="12">
        <f>SUM(TabelaINSS[Fevereiro])+SUMIF(TabelaFERIAS[Parcela],"Fevereiro",TabelaFERIAS[INSS])</f>
        <v>0</v>
      </c>
      <c r="E5" s="12">
        <f>SUM(TabelaINSS[Março])+SUMIF(TabelaFERIAS[Parcela],"Março",TabelaFERIAS[INSS])</f>
        <v>0</v>
      </c>
      <c r="F5" s="12">
        <f>SUM(TabelaINSS[Abril])++SUMIF(TabelaFERIAS[Parcela],"Abril",TabelaFERIAS[INSS])</f>
        <v>0</v>
      </c>
      <c r="G5" s="12">
        <f>SUM(TabelaINSS[Maio])+SUMIF(TabelaFERIAS[Parcela],"Maio",TabelaFERIAS[INSS])</f>
        <v>0</v>
      </c>
      <c r="H5" s="12">
        <f>SUM(TabelaINSS[Junho])+SUMIF(TabelaFERIAS[Parcela],"Junho",TabelaFERIAS[INSS])</f>
        <v>0</v>
      </c>
      <c r="I5" s="12">
        <f>SUM(TabelaINSS[Julho])+SUMIF(TabelaFERIAS[Parcela],"Julho",TabelaFERIAS[INSS])</f>
        <v>0</v>
      </c>
      <c r="J5" s="12">
        <f>SUM(TabelaINSS[Agosto])+SUMIF(TabelaFERIAS[Parcela],"Agosto",TabelaFERIAS[INSS])</f>
        <v>0</v>
      </c>
      <c r="K5" s="12">
        <f>SUM(TabelaINSS[Setembro])+SUMIF(TabelaFERIAS[Parcela],"Setembro",TabelaFERIAS[INSS])</f>
        <v>0</v>
      </c>
      <c r="L5" s="12">
        <f>SUM(TabelaINSS[Outubro])+SUMIF(TabelaFERIAS[Parcela],"Outubro",TabelaFERIAS[INSS])</f>
        <v>0</v>
      </c>
      <c r="M5" s="12">
        <f>SUM(TabelaINSS[Novembro])+SUM(Tabela13Salario[INSS])+SUMIF(TabelaFERIAS[Parcela],"Novembro",TabelaFERIAS[INSS])</f>
        <v>0</v>
      </c>
      <c r="N5" s="12">
        <f>SUM(TabelaINSS[Dezembro])+SUMIF(TabelaFERIAS[Parcela],"Dezembro",TabelaFERIAS[INSS])</f>
        <v>0</v>
      </c>
      <c r="O5" s="11">
        <f t="shared" ref="O5" si="1">SUM(C5:N5)</f>
        <v>0</v>
      </c>
    </row>
    <row r="6" spans="1:15" s="1" customFormat="1" x14ac:dyDescent="0.25">
      <c r="A6" s="66"/>
      <c r="B6" s="8" t="s">
        <v>4</v>
      </c>
      <c r="C6" s="12">
        <f>SUM(TabelaFGTS[Janeiro])+SUMIF(TabelaFERIAS[Parcela],"Janeiro",TabelaFERIAS[FGTS])</f>
        <v>0</v>
      </c>
      <c r="D6" s="12">
        <f>SUM(TabelaFGTS[Fevereiro])+SUMIF(TabelaFERIAS[Parcela],"Fevereiro",TabelaFERIAS[FGTS])</f>
        <v>0</v>
      </c>
      <c r="E6" s="12">
        <f>SUM(TabelaFGTS[Março])+SUMIF(TabelaFERIAS[Parcela],"Março",TabelaFERIAS[FGTS])</f>
        <v>0</v>
      </c>
      <c r="F6" s="12">
        <f>SUM(TabelaFGTS[Abril])+SUMIF(TabelaFERIAS[Parcela],"Abril",TabelaFERIAS[FGTS])</f>
        <v>0</v>
      </c>
      <c r="G6" s="12">
        <f>SUM(TabelaFGTS[Maio])+SUMIF(TabelaFERIAS[Parcela],"Maio",TabelaFERIAS[FGTS])</f>
        <v>0</v>
      </c>
      <c r="H6" s="12">
        <f>SUM(TabelaFGTS[Junho])+SUMIF(TabelaFERIAS[Parcela],"Junho",TabelaFERIAS[FGTS])</f>
        <v>0</v>
      </c>
      <c r="I6" s="12">
        <f>SUM(TabelaFGTS[Julho])+SUMIF(TabelaFERIAS[Parcela],"Julho",TabelaFERIAS[FGTS])</f>
        <v>0</v>
      </c>
      <c r="J6" s="12">
        <f>SUM(TabelaFGTS[Agosto])+SUMIF(TabelaFERIAS[Parcela],"Agosto",TabelaFERIAS[FGTS])</f>
        <v>0</v>
      </c>
      <c r="K6" s="12">
        <f>SUM(TabelaFGTS[Setembro])+SUMIF(TabelaFERIAS[Parcela],"Setembro",TabelaFERIAS[FGTS])</f>
        <v>0</v>
      </c>
      <c r="L6" s="12">
        <f>SUM(TabelaFGTS[Outubro])+SUMIF(TabelaFERIAS[Parcela],"Outubro",TabelaFERIAS[FGTS])</f>
        <v>0</v>
      </c>
      <c r="M6" s="12">
        <f>SUM(TabelaFGTS[Novembro])+SUM(Tabela13Salario[FGTS])+SUMIF(TabelaFERIAS[Parcela],"Novembro",TabelaFERIAS[FGTS])</f>
        <v>0</v>
      </c>
      <c r="N6" s="12">
        <f>SUM(TabelaFGTS[Dezembro])+SUMIF(TabelaFERIAS[Parcela],"Dezembro",TabelaFERIAS[FGTS])</f>
        <v>0</v>
      </c>
      <c r="O6" s="11">
        <f t="shared" ref="O6:O30" si="2">SUM(C6:N6)</f>
        <v>0</v>
      </c>
    </row>
    <row r="7" spans="1:15" s="1" customFormat="1" x14ac:dyDescent="0.25">
      <c r="A7" s="66"/>
      <c r="B7" s="8" t="s">
        <v>41</v>
      </c>
      <c r="C7" s="12">
        <f>SUM(TabelaINSSPatronal[Janeiro])+SUMIF(TabelaFERIAS[Parcela],"Janeiro",TabelaFERIAS[INSS Patronal])</f>
        <v>0</v>
      </c>
      <c r="D7" s="12">
        <f>SUM(TabelaINSSPatronal[Fevereiro])+SUMIF(TabelaFERIAS[Parcela],"Fevereiro",TabelaFERIAS[INSS Patronal])</f>
        <v>0</v>
      </c>
      <c r="E7" s="12">
        <f>SUM(TabelaINSSPatronal[Março])+SUMIF(TabelaFERIAS[Parcela],"Março",TabelaFERIAS[INSS Patronal])</f>
        <v>0</v>
      </c>
      <c r="F7" s="12">
        <f>SUM(TabelaINSSPatronal[Abril])+SUMIF(TabelaFERIAS[Parcela],"Abril",TabelaFERIAS[INSS Patronal])</f>
        <v>0</v>
      </c>
      <c r="G7" s="12">
        <f>SUM(TabelaINSSPatronal[Maio])+SUMIF(TabelaFERIAS[Parcela],"Maio",TabelaFERIAS[INSS Patronal])</f>
        <v>0</v>
      </c>
      <c r="H7" s="12">
        <f>SUM(TabelaINSSPatronal[Junho])+SUMIF(TabelaFERIAS[Parcela],"Junho",TabelaFERIAS[INSS Patronal])</f>
        <v>0</v>
      </c>
      <c r="I7" s="12">
        <f>SUM(TabelaINSSPatronal[Julho])+SUMIF(TabelaFERIAS[Parcela],"Julho",TabelaFERIAS[INSS Patronal])</f>
        <v>0</v>
      </c>
      <c r="J7" s="12">
        <f>SUM(TabelaINSSPatronal[Agosto])+SUMIF(TabelaFERIAS[Parcela],"Agosto",TabelaFERIAS[INSS Patronal])</f>
        <v>0</v>
      </c>
      <c r="K7" s="12">
        <f>SUM(TabelaINSSPatronal[Setembro])+SUMIF(TabelaFERIAS[Parcela],"Setembro",TabelaFERIAS[INSS Patronal])</f>
        <v>0</v>
      </c>
      <c r="L7" s="12">
        <f>SUM(TabelaINSSPatronal[Outubro])+SUMIF(TabelaFERIAS[Parcela],"Outubro",TabelaFERIAS[INSS Patronal])</f>
        <v>0</v>
      </c>
      <c r="M7" s="12">
        <f>SUM(TabelaINSSPatronal[Novembro])+SUM(Tabela13Salario[INSS Patronal])+SUMIF(TabelaFERIAS[Parcela],"Novembro",TabelaFERIAS[INSS Patronal])</f>
        <v>0</v>
      </c>
      <c r="N7" s="12">
        <f>SUM(TabelaINSSPatronal[Dezembro])+SUMIF(TabelaFERIAS[Parcela],"Dezembro",TabelaFERIAS[INSS Patronal])</f>
        <v>0</v>
      </c>
      <c r="O7" s="11">
        <f t="shared" si="2"/>
        <v>0</v>
      </c>
    </row>
    <row r="8" spans="1:15" s="1" customFormat="1" x14ac:dyDescent="0.25">
      <c r="A8" s="66"/>
      <c r="B8" s="8" t="s">
        <v>14</v>
      </c>
      <c r="C8" s="12">
        <f>SUM(TabelaPIS[Janeiro])+SUMIF(TabelaFERIAS[Parcela],"Janeiro",TabelaFERIAS[PIS])</f>
        <v>0</v>
      </c>
      <c r="D8" s="12">
        <f>SUM(TabelaPIS[Fevereiro])+SUMIF(TabelaFERIAS[Parcela],"Fevereiro",TabelaFERIAS[PIS])</f>
        <v>0</v>
      </c>
      <c r="E8" s="12">
        <f>SUM(TabelaPIS[Março])+SUMIF(TabelaFERIAS[Parcela],"Março",TabelaFERIAS[PIS])</f>
        <v>0</v>
      </c>
      <c r="F8" s="12">
        <f>SUM(TabelaPIS[Abril])+SUMIF(TabelaFERIAS[Parcela],"Abril",TabelaFERIAS[PIS])</f>
        <v>0</v>
      </c>
      <c r="G8" s="12">
        <f>SUM(TabelaPIS[Maio])+SUMIF(TabelaFERIAS[Parcela],"Maio",TabelaFERIAS[PIS])</f>
        <v>0</v>
      </c>
      <c r="H8" s="12">
        <f>SUM(TabelaPIS[Junho])+SUMIF(TabelaFERIAS[Parcela],"Junho",TabelaFERIAS[PIS])</f>
        <v>0</v>
      </c>
      <c r="I8" s="12">
        <f>SUM(TabelaPIS[Julho])+SUMIF(TabelaFERIAS[Parcela],"Julho",TabelaFERIAS[PIS])</f>
        <v>0</v>
      </c>
      <c r="J8" s="12">
        <f>SUM(TabelaPIS[Agosto])+SUMIF(TabelaFERIAS[Parcela],"Agosto",TabelaFERIAS[PIS])</f>
        <v>0</v>
      </c>
      <c r="K8" s="12">
        <f>SUM(TabelaPIS[Setembro])+SUMIF(TabelaFERIAS[Parcela],"Setembro",TabelaFERIAS[PIS])</f>
        <v>0</v>
      </c>
      <c r="L8" s="12">
        <f>SUM(TabelaPIS[Outubro])+SUMIF(TabelaFERIAS[Parcela],"Outubro",TabelaFERIAS[PIS])</f>
        <v>0</v>
      </c>
      <c r="M8" s="12">
        <f>SUM(TabelaPIS[Novembro])+SUM(Tabela13Salario[PIS])+SUMIF(TabelaFERIAS[Parcela],"Novembro",TabelaFERIAS[PIS])</f>
        <v>0</v>
      </c>
      <c r="N8" s="12">
        <f>SUM(TabelaPIS[Dezembro])+SUMIF(TabelaFERIAS[Parcela],"Dezembro",TabelaFERIAS[PIS])</f>
        <v>0</v>
      </c>
      <c r="O8" s="11">
        <f t="shared" si="2"/>
        <v>0</v>
      </c>
    </row>
    <row r="9" spans="1:15" s="1" customFormat="1" x14ac:dyDescent="0.25">
      <c r="A9" s="66"/>
      <c r="B9" s="8" t="s">
        <v>13</v>
      </c>
      <c r="C9" s="12">
        <v>0</v>
      </c>
      <c r="D9" s="12">
        <v>0</v>
      </c>
      <c r="E9" s="12">
        <v>0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0</v>
      </c>
      <c r="M9" s="12">
        <f>SUM(Tabela13Salario[Novembro])</f>
        <v>0</v>
      </c>
      <c r="N9" s="12">
        <f>SUM(Tabela13Salario[Dezembro])</f>
        <v>0</v>
      </c>
      <c r="O9" s="11">
        <f t="shared" si="2"/>
        <v>0</v>
      </c>
    </row>
    <row r="10" spans="1:15" s="1" customFormat="1" x14ac:dyDescent="0.25">
      <c r="A10" s="66"/>
      <c r="B10" s="8" t="s">
        <v>42</v>
      </c>
      <c r="C10" s="12">
        <f>SUMIF(TabelaFERIAS[Parcela],"Janeiro",TabelaFERIAS[1/3 Férias])</f>
        <v>0</v>
      </c>
      <c r="D10" s="12">
        <f>SUMIF(TabelaFERIAS[Parcela],"Fevereiro",TabelaFERIAS[1/3 Férias])</f>
        <v>0</v>
      </c>
      <c r="E10" s="12">
        <f>SUMIF(TabelaFERIAS[Parcela],"Março",TabelaFERIAS[1/3 Férias])</f>
        <v>0</v>
      </c>
      <c r="F10" s="12">
        <f>SUMIF(TabelaFERIAS[Parcela],"Abril",TabelaFERIAS[1/3 Férias])</f>
        <v>0</v>
      </c>
      <c r="G10" s="12">
        <f>SUMIF(TabelaFERIAS[Parcela],"Maio",TabelaFERIAS[1/3 Férias])</f>
        <v>0</v>
      </c>
      <c r="H10" s="12">
        <f>SUMIF(TabelaFERIAS[Parcela],"Junho",TabelaFERIAS[1/3 Férias])</f>
        <v>0</v>
      </c>
      <c r="I10" s="12">
        <f>SUMIF(TabelaFERIAS[Parcela],"Julho",TabelaFERIAS[1/3 Férias])</f>
        <v>0</v>
      </c>
      <c r="J10" s="12">
        <f>SUMIF(TabelaFERIAS[Parcela],"Agosto",TabelaFERIAS[1/3 Férias])</f>
        <v>0</v>
      </c>
      <c r="K10" s="12">
        <f>SUMIF(TabelaFERIAS[Parcela],"Setembro",TabelaFERIAS[1/3 Férias])</f>
        <v>0</v>
      </c>
      <c r="L10" s="12">
        <f>SUMIF(TabelaFERIAS[Parcela],"Outubro",TabelaFERIAS[1/3 Férias])</f>
        <v>0</v>
      </c>
      <c r="M10" s="12">
        <f>SUMIF(TabelaFERIAS[Parcela],"Novembro",TabelaFERIAS[1/3 Férias])</f>
        <v>0</v>
      </c>
      <c r="N10" s="12">
        <f>SUMIF(TabelaFERIAS[Parcela],"Dezembro",TabelaFERIAS[1/3 Férias])</f>
        <v>0</v>
      </c>
      <c r="O10" s="11">
        <f t="shared" si="2"/>
        <v>0</v>
      </c>
    </row>
    <row r="11" spans="1:15" s="1" customFormat="1" x14ac:dyDescent="0.25">
      <c r="A11" s="66"/>
      <c r="B11" s="8" t="s">
        <v>43</v>
      </c>
      <c r="C11" s="12">
        <f>SUM(TabelaMultaRescisoriaFGTS[Janeiro])</f>
        <v>0</v>
      </c>
      <c r="D11" s="12">
        <f>SUM(TabelaMultaRescisoriaFGTS[Fevereiro])</f>
        <v>0</v>
      </c>
      <c r="E11" s="12">
        <f>SUM(TabelaMultaRescisoriaFGTS[Março])</f>
        <v>0</v>
      </c>
      <c r="F11" s="12">
        <f>SUM(TabelaMultaRescisoriaFGTS[Abril])</f>
        <v>0</v>
      </c>
      <c r="G11" s="12">
        <f>SUM(TabelaMultaRescisoriaFGTS[Maio])</f>
        <v>0</v>
      </c>
      <c r="H11" s="12">
        <f>SUM(TabelaMultaRescisoriaFGTS[Junho])</f>
        <v>0</v>
      </c>
      <c r="I11" s="12">
        <f>SUM(TabelaMultaRescisoriaFGTS[Julho])</f>
        <v>0</v>
      </c>
      <c r="J11" s="12">
        <f>SUM(TabelaMultaRescisoriaFGTS[Agosto])</f>
        <v>0</v>
      </c>
      <c r="K11" s="12">
        <f>SUM(TabelaMultaRescisoriaFGTS[Setembro])</f>
        <v>0</v>
      </c>
      <c r="L11" s="12">
        <f>SUM(TabelaMultaRescisoriaFGTS[Outubro])</f>
        <v>0</v>
      </c>
      <c r="M11" s="12">
        <f>SUM(TabelaMultaRescisoriaFGTS[Novembro])</f>
        <v>0</v>
      </c>
      <c r="N11" s="12">
        <f>SUM(TabelaMultaRescisoriaFGTS[Dezembro])</f>
        <v>0</v>
      </c>
      <c r="O11" s="11">
        <f t="shared" si="2"/>
        <v>0</v>
      </c>
    </row>
    <row r="12" spans="1:15" s="1" customFormat="1" x14ac:dyDescent="0.25">
      <c r="A12" s="66"/>
      <c r="B12" s="8" t="s">
        <v>44</v>
      </c>
      <c r="C12" s="12">
        <f>SUMIF(TabelaRH6[Vínculo],"Estagiário",TabelaRH6[Janeiro])</f>
        <v>0</v>
      </c>
      <c r="D12" s="12">
        <f>SUMIF(TabelaRH6[Vínculo],"Estagiário",TabelaRH6[Fevereiro])</f>
        <v>0</v>
      </c>
      <c r="E12" s="12">
        <f>SUMIF(TabelaRH6[Vínculo],"Estagiário",TabelaRH6[Março])</f>
        <v>0</v>
      </c>
      <c r="F12" s="12">
        <f>SUMIF(TabelaRH6[Vínculo],"Estagiário",TabelaRH6[Abril])</f>
        <v>0</v>
      </c>
      <c r="G12" s="12">
        <f>SUMIF(TabelaRH6[Vínculo],"Estagiário",TabelaRH6[Maio])</f>
        <v>0</v>
      </c>
      <c r="H12" s="12">
        <f>SUMIF(TabelaRH6[Vínculo],"Estagiário",TabelaRH6[Junho])</f>
        <v>0</v>
      </c>
      <c r="I12" s="12">
        <f>SUMIF(TabelaRH6[Vínculo],"Estagiário",TabelaRH6[Julho])</f>
        <v>0</v>
      </c>
      <c r="J12" s="12">
        <f>SUMIF(TabelaRH6[Vínculo],"Estagiário",TabelaRH6[Agosto])</f>
        <v>0</v>
      </c>
      <c r="K12" s="12">
        <f>SUMIF(TabelaRH6[Vínculo],"Estagiário",TabelaRH6[Setembro])</f>
        <v>0</v>
      </c>
      <c r="L12" s="12">
        <f>SUMIF(TabelaRH6[Vínculo],"Estagiário",TabelaRH6[Outubro])</f>
        <v>0</v>
      </c>
      <c r="M12" s="12">
        <f>SUMIF(TabelaRH6[Vínculo],"Estagiário",TabelaRH6[Novembro])</f>
        <v>0</v>
      </c>
      <c r="N12" s="12">
        <f>SUMIF(TabelaRH6[Vínculo],"Estagiário",TabelaRH6[Dezembro])</f>
        <v>0</v>
      </c>
      <c r="O12" s="21">
        <f>SUM(C12:N12)</f>
        <v>0</v>
      </c>
    </row>
    <row r="13" spans="1:15" s="1" customFormat="1" x14ac:dyDescent="0.25">
      <c r="A13" s="66"/>
      <c r="B13" s="42" t="s">
        <v>95</v>
      </c>
      <c r="C13" s="20">
        <f>SUM(TabelaVA[Janeiro])</f>
        <v>0</v>
      </c>
      <c r="D13" s="20">
        <f>SUM(TabelaVA[Fevereiro])</f>
        <v>0</v>
      </c>
      <c r="E13" s="20">
        <f>SUM(TabelaVA[Março])</f>
        <v>0</v>
      </c>
      <c r="F13" s="20">
        <f>SUM(TabelaVA[Abril])</f>
        <v>0</v>
      </c>
      <c r="G13" s="20">
        <f>SUM(TabelaVA[Maio])</f>
        <v>0</v>
      </c>
      <c r="H13" s="20">
        <f>SUM(TabelaVA[Junho])</f>
        <v>0</v>
      </c>
      <c r="I13" s="20">
        <f>SUM(TabelaVA[Julho])</f>
        <v>0</v>
      </c>
      <c r="J13" s="20">
        <f>SUM(TabelaVA[Agosto])</f>
        <v>0</v>
      </c>
      <c r="K13" s="20">
        <f>SUM(TabelaVA[Setembro])</f>
        <v>0</v>
      </c>
      <c r="L13" s="20">
        <f>SUM(TabelaVA[Outubro])</f>
        <v>0</v>
      </c>
      <c r="M13" s="20">
        <f>SUM(TabelaVA[Novembro])</f>
        <v>0</v>
      </c>
      <c r="N13" s="20">
        <f>SUM(TabelaVA[Dezembro])</f>
        <v>0</v>
      </c>
      <c r="O13" s="21">
        <f>SUM(C13:N13)</f>
        <v>0</v>
      </c>
    </row>
    <row r="14" spans="1:15" s="1" customFormat="1" x14ac:dyDescent="0.25">
      <c r="A14" s="66"/>
      <c r="B14" s="42" t="s">
        <v>96</v>
      </c>
      <c r="C14" s="20">
        <f>SUM(TabelaVR[Janeiro])</f>
        <v>0</v>
      </c>
      <c r="D14" s="20">
        <f>SUM(TabelaVR[Fevereiro])</f>
        <v>0</v>
      </c>
      <c r="E14" s="20">
        <f>SUM(TabelaVR[Março])</f>
        <v>0</v>
      </c>
      <c r="F14" s="20">
        <f>SUM(TabelaVR[Abril])</f>
        <v>0</v>
      </c>
      <c r="G14" s="20">
        <f>SUM(TabelaVR[Maio])</f>
        <v>0</v>
      </c>
      <c r="H14" s="20">
        <f>SUM(TabelaVR[Junho])</f>
        <v>0</v>
      </c>
      <c r="I14" s="20">
        <f>SUM(TabelaVR[Julho])</f>
        <v>0</v>
      </c>
      <c r="J14" s="20">
        <f>SUM(TabelaVR[Agosto])</f>
        <v>0</v>
      </c>
      <c r="K14" s="20">
        <f>SUM(TabelaVR[Setembro])</f>
        <v>0</v>
      </c>
      <c r="L14" s="20">
        <f>SUM(TabelaVR[Outubro])</f>
        <v>0</v>
      </c>
      <c r="M14" s="20">
        <f>SUM(TabelaVR[Novembro])</f>
        <v>0</v>
      </c>
      <c r="N14" s="20">
        <f>SUM(TabelaVR[Dezembro])</f>
        <v>0</v>
      </c>
      <c r="O14" s="21">
        <f>SUM(C14:N14)</f>
        <v>0</v>
      </c>
    </row>
    <row r="15" spans="1:15" s="1" customFormat="1" x14ac:dyDescent="0.25">
      <c r="A15" s="66"/>
      <c r="B15" s="8" t="s">
        <v>97</v>
      </c>
      <c r="C15" s="12">
        <f>SUM(TabelaVT[Janeiro])</f>
        <v>0</v>
      </c>
      <c r="D15" s="12">
        <f>SUM(TabelaVT[Fevereiro])</f>
        <v>0</v>
      </c>
      <c r="E15" s="12">
        <f>SUM(TabelaVT[Março])</f>
        <v>0</v>
      </c>
      <c r="F15" s="12">
        <f>SUM(TabelaVT[Abril])</f>
        <v>0</v>
      </c>
      <c r="G15" s="12">
        <f>SUM(TabelaVT[Maio])</f>
        <v>0</v>
      </c>
      <c r="H15" s="12">
        <f>SUM(TabelaVT[Junho])</f>
        <v>0</v>
      </c>
      <c r="I15" s="12">
        <f>SUM(TabelaVT[Julho])</f>
        <v>0</v>
      </c>
      <c r="J15" s="12">
        <f>SUM(TabelaVT[Agosto])</f>
        <v>0</v>
      </c>
      <c r="K15" s="12">
        <f>SUM(TabelaVT[Setembro])</f>
        <v>0</v>
      </c>
      <c r="L15" s="12">
        <f>SUM(TabelaVT[Outubro])</f>
        <v>0</v>
      </c>
      <c r="M15" s="12">
        <f>SUM(TabelaVT[Novembro])</f>
        <v>0</v>
      </c>
      <c r="N15" s="12">
        <f>SUM(TabelaVT[Dezembro])</f>
        <v>0</v>
      </c>
      <c r="O15" s="11">
        <f t="shared" si="2"/>
        <v>0</v>
      </c>
    </row>
    <row r="16" spans="1:15" s="1" customFormat="1" x14ac:dyDescent="0.25">
      <c r="A16" s="28" t="s">
        <v>32</v>
      </c>
      <c r="B16" s="8" t="s">
        <v>32</v>
      </c>
      <c r="C16" s="12">
        <f>SUMIF(TabelaMCGA[Classificação],"Combustível",TabelaMCGA[Janeiro])</f>
        <v>0</v>
      </c>
      <c r="D16" s="12">
        <f>SUMIF(TabelaMCGA[Classificação],"Combustível",TabelaMCGA[Fevereiro])</f>
        <v>0</v>
      </c>
      <c r="E16" s="12">
        <f>SUMIF(TabelaMCGA[Classificação],"Combustível",TabelaMCGA[Março])</f>
        <v>0</v>
      </c>
      <c r="F16" s="12">
        <f>SUMIF(TabelaMCGA[Classificação],"Combustível",TabelaMCGA[Abril])</f>
        <v>0</v>
      </c>
      <c r="G16" s="12">
        <f>SUMIF(TabelaMCGA[Classificação],"Combustível",TabelaMCGA[Maio])</f>
        <v>0</v>
      </c>
      <c r="H16" s="12">
        <f>SUMIF(TabelaMCGA[Classificação],"Combustível",TabelaMCGA[Junho])</f>
        <v>0</v>
      </c>
      <c r="I16" s="12">
        <f>SUMIF(TabelaMCGA[Classificação],"Combustível",TabelaMCGA[Julho])</f>
        <v>0</v>
      </c>
      <c r="J16" s="12">
        <f>SUMIF(TabelaMCGA[Classificação],"Combustível",TabelaMCGA[Agosto])</f>
        <v>0</v>
      </c>
      <c r="K16" s="12">
        <f>SUMIF(TabelaMCGA[Classificação],"Combustível",TabelaMCGA[Setembro])</f>
        <v>0</v>
      </c>
      <c r="L16" s="12">
        <f>SUMIF(TabelaMCGA[Classificação],"Combustível",TabelaMCGA[Outubro])</f>
        <v>0</v>
      </c>
      <c r="M16" s="12">
        <f>SUMIF(TabelaMCGA[Classificação],"Combustível",TabelaMCGA[Novembro])</f>
        <v>0</v>
      </c>
      <c r="N16" s="12">
        <f>SUMIF(TabelaMCGA[Classificação],"Combustível",TabelaMCGA[Dezembro])</f>
        <v>0</v>
      </c>
      <c r="O16" s="11">
        <f t="shared" si="2"/>
        <v>0</v>
      </c>
    </row>
    <row r="17" spans="1:15" s="1" customFormat="1" x14ac:dyDescent="0.25">
      <c r="A17" s="69" t="s">
        <v>50</v>
      </c>
      <c r="B17" s="8" t="s">
        <v>46</v>
      </c>
      <c r="C17" s="12">
        <f>SUMIF(TabelaMCGA[Classificação],"Material de Expediente",TabelaMCGA[Janeiro])</f>
        <v>0</v>
      </c>
      <c r="D17" s="12">
        <f>SUMIF(TabelaMCGA[Classificação],"Material de Expediente",TabelaMCGA[Fevereiro])</f>
        <v>0</v>
      </c>
      <c r="E17" s="12">
        <f>SUMIF(TabelaMCGA[Classificação],"Material de Expediente",TabelaMCGA[Março])</f>
        <v>0</v>
      </c>
      <c r="F17" s="12">
        <f>SUMIF(TabelaMCGA[Classificação],"Material de Expediente",TabelaMCGA[Abril])</f>
        <v>0</v>
      </c>
      <c r="G17" s="12">
        <f>SUMIF(TabelaMCGA[Classificação],"Material de Expediente",TabelaMCGA[Maio])</f>
        <v>0</v>
      </c>
      <c r="H17" s="12">
        <f>SUMIF(TabelaMCGA[Classificação],"Material de Expediente",TabelaMCGA[Junho])</f>
        <v>0</v>
      </c>
      <c r="I17" s="12">
        <f>SUMIF(TabelaMCGA[Classificação],"Material de Expediente",TabelaMCGA[Julho])</f>
        <v>0</v>
      </c>
      <c r="J17" s="12">
        <f>SUMIF(TabelaMCGA[Classificação],"Material de Expediente",TabelaMCGA[Agosto])</f>
        <v>0</v>
      </c>
      <c r="K17" s="12">
        <f>SUMIF(TabelaMCGA[Classificação],"Material de Expediente",TabelaMCGA[Setembro])</f>
        <v>0</v>
      </c>
      <c r="L17" s="12">
        <f>SUMIF(TabelaMCGA[Classificação],"Material de Expediente",TabelaMCGA[Outubro])</f>
        <v>0</v>
      </c>
      <c r="M17" s="12">
        <f>SUMIF(TabelaMCGA[Classificação],"Material de Expediente",TabelaMCGA[Novembro])</f>
        <v>0</v>
      </c>
      <c r="N17" s="12">
        <f>SUMIF(TabelaMCGA[Classificação],"Material de Expediente",TabelaMCGA[Dezembro])</f>
        <v>0</v>
      </c>
      <c r="O17" s="11">
        <f t="shared" si="2"/>
        <v>0</v>
      </c>
    </row>
    <row r="18" spans="1:15" s="1" customFormat="1" x14ac:dyDescent="0.25">
      <c r="A18" s="69"/>
      <c r="B18" s="8" t="s">
        <v>47</v>
      </c>
      <c r="C18" s="12">
        <f>SUMIF(TabelaMCGA[Classificação],"Material de Higienização e Limpeza",TabelaMCGA[Janeiro])</f>
        <v>0</v>
      </c>
      <c r="D18" s="12">
        <f>SUMIF(TabelaMCGA[Classificação],"Material de Higienização e Limpeza",TabelaMCGA[Fevereiro])</f>
        <v>0</v>
      </c>
      <c r="E18" s="12">
        <f>SUMIF(TabelaMCGA[Classificação],"Material de Higienização e Limpeza",TabelaMCGA[Março])</f>
        <v>0</v>
      </c>
      <c r="F18" s="12">
        <f>SUMIF(TabelaMCGA[Classificação],"Material de Higienização e Limpeza",TabelaMCGA[Abril])</f>
        <v>0</v>
      </c>
      <c r="G18" s="12">
        <f>SUMIF(TabelaMCGA[Classificação],"Material de Higienização e Limpeza",TabelaMCGA[Maio])</f>
        <v>0</v>
      </c>
      <c r="H18" s="12">
        <f>SUMIF(TabelaMCGA[Classificação],"Material de Higienização e Limpeza",TabelaMCGA[Junho])</f>
        <v>0</v>
      </c>
      <c r="I18" s="12">
        <f>SUMIF(TabelaMCGA[Classificação],"Material de Higienização e Limpeza",TabelaMCGA[Julho])</f>
        <v>0</v>
      </c>
      <c r="J18" s="12">
        <f>SUMIF(TabelaMCGA[Classificação],"Material de Higienização e Limpeza",TabelaMCGA[Agosto])</f>
        <v>0</v>
      </c>
      <c r="K18" s="12">
        <f>SUMIF(TabelaMCGA[Classificação],"Material de Higienização e Limpeza",TabelaMCGA[Setembro])</f>
        <v>0</v>
      </c>
      <c r="L18" s="12">
        <f>SUMIF(TabelaMCGA[Classificação],"Material de Higienização e Limpeza",TabelaMCGA[Outubro])</f>
        <v>0</v>
      </c>
      <c r="M18" s="12">
        <f>SUMIF(TabelaMCGA[Classificação],"Material de Higienização e Limpeza",TabelaMCGA[Novembro])</f>
        <v>0</v>
      </c>
      <c r="N18" s="12">
        <f>SUMIF(TabelaMCGA[Classificação],"Material de Higienização e Limpeza",TabelaMCGA[Dezembro])</f>
        <v>0</v>
      </c>
      <c r="O18" s="11">
        <f t="shared" si="2"/>
        <v>0</v>
      </c>
    </row>
    <row r="19" spans="1:15" s="1" customFormat="1" x14ac:dyDescent="0.25">
      <c r="A19" s="69"/>
      <c r="B19" s="8" t="s">
        <v>48</v>
      </c>
      <c r="C19" s="12">
        <f>SUMIF(TabelaMCGA[Classificação],"Material Didático",TabelaMCGA[Janeiro])</f>
        <v>0</v>
      </c>
      <c r="D19" s="12">
        <f>SUMIF(TabelaMCGA[Classificação],"Material Didático",TabelaMCGA[Fevereiro])</f>
        <v>0</v>
      </c>
      <c r="E19" s="12">
        <f>SUMIF(TabelaMCGA[Classificação],"Material Didático",TabelaMCGA[Março])</f>
        <v>0</v>
      </c>
      <c r="F19" s="12">
        <f>SUMIF(TabelaMCGA[Classificação],"Material Didático",TabelaMCGA[Abril])</f>
        <v>0</v>
      </c>
      <c r="G19" s="12">
        <f>SUMIF(TabelaMCGA[Classificação],"Material Didático",TabelaMCGA[Maio])</f>
        <v>0</v>
      </c>
      <c r="H19" s="12">
        <f>SUMIF(TabelaMCGA[Classificação],"Material Didático",TabelaMCGA[Junho])</f>
        <v>0</v>
      </c>
      <c r="I19" s="12">
        <f>SUMIF(TabelaMCGA[Classificação],"Material Didático",TabelaMCGA[Julho])</f>
        <v>0</v>
      </c>
      <c r="J19" s="12">
        <f>SUMIF(TabelaMCGA[Classificação],"Material Didático",TabelaMCGA[Agosto])</f>
        <v>0</v>
      </c>
      <c r="K19" s="12">
        <f>SUMIF(TabelaMCGA[Classificação],"Material Didático",TabelaMCGA[Setembro])</f>
        <v>0</v>
      </c>
      <c r="L19" s="12">
        <f>SUMIF(TabelaMCGA[Classificação],"Material Didático",TabelaMCGA[Outubro])</f>
        <v>0</v>
      </c>
      <c r="M19" s="12">
        <f>SUMIF(TabelaMCGA[Classificação],"Material Didático",TabelaMCGA[Novembro])</f>
        <v>0</v>
      </c>
      <c r="N19" s="12">
        <f>SUMIF(TabelaMCGA[Classificação],"Material Didático",TabelaMCGA[Dezembro])</f>
        <v>0</v>
      </c>
      <c r="O19" s="11">
        <f t="shared" si="2"/>
        <v>0</v>
      </c>
    </row>
    <row r="20" spans="1:15" s="1" customFormat="1" x14ac:dyDescent="0.25">
      <c r="A20" s="69"/>
      <c r="B20" s="8" t="s">
        <v>49</v>
      </c>
      <c r="C20" s="12">
        <f>SUMIF(TabelaMCGA[Classificação],"Material Esportivo",TabelaMCGA[Janeiro])</f>
        <v>0</v>
      </c>
      <c r="D20" s="12">
        <f>SUMIF(TabelaMCGA[Classificação],"Material Esportivo",TabelaMCGA[Fevereiro])</f>
        <v>0</v>
      </c>
      <c r="E20" s="12">
        <f>SUMIF(TabelaMCGA[Classificação],"Material Esportivo",TabelaMCGA[Março])</f>
        <v>0</v>
      </c>
      <c r="F20" s="12">
        <f>SUMIF(TabelaMCGA[Classificação],"Material Esportivo",TabelaMCGA[Abril])</f>
        <v>0</v>
      </c>
      <c r="G20" s="12">
        <f>SUMIF(TabelaMCGA[Classificação],"Material Esportivo",TabelaMCGA[Maio])</f>
        <v>0</v>
      </c>
      <c r="H20" s="12">
        <f>SUMIF(TabelaMCGA[Classificação],"Material Esportivo",TabelaMCGA[Junho])</f>
        <v>0</v>
      </c>
      <c r="I20" s="12">
        <f>SUMIF(TabelaMCGA[Classificação],"Material Esportivo",TabelaMCGA[Julho])</f>
        <v>0</v>
      </c>
      <c r="J20" s="12">
        <f>SUMIF(TabelaMCGA[Classificação],"Material Esportivo",TabelaMCGA[Agosto])</f>
        <v>0</v>
      </c>
      <c r="K20" s="12">
        <f>SUMIF(TabelaMCGA[Classificação],"Material Esportivo",TabelaMCGA[Setembro])</f>
        <v>0</v>
      </c>
      <c r="L20" s="12">
        <f>SUMIF(TabelaMCGA[Classificação],"Material Esportivo",TabelaMCGA[Outubro])</f>
        <v>0</v>
      </c>
      <c r="M20" s="12">
        <f>SUMIF(TabelaMCGA[Classificação],"Material Esportivo",TabelaMCGA[Novembro])</f>
        <v>0</v>
      </c>
      <c r="N20" s="12">
        <f>SUMIF(TabelaMCGA[Classificação],"Material Esportivo",TabelaMCGA[Dezembro])</f>
        <v>0</v>
      </c>
      <c r="O20" s="11">
        <f>SUM(C20:N20)</f>
        <v>0</v>
      </c>
    </row>
    <row r="21" spans="1:15" s="1" customFormat="1" ht="12.75" customHeight="1" x14ac:dyDescent="0.25">
      <c r="A21" s="29" t="s">
        <v>73</v>
      </c>
      <c r="B21" s="8" t="s">
        <v>33</v>
      </c>
      <c r="C21" s="12">
        <f>SUMIF(TabelaMCGA[Classificação],"Generos Alimentícios",TabelaMCGA[Janeiro])</f>
        <v>0</v>
      </c>
      <c r="D21" s="12">
        <f>SUMIF(TabelaMCGA[Classificação],"Generos Alimentícios",TabelaMCGA[Fevereiro])</f>
        <v>0</v>
      </c>
      <c r="E21" s="12">
        <f>SUMIF(TabelaMCGA[Classificação],"Generos Alimentícios",TabelaMCGA[Março])</f>
        <v>0</v>
      </c>
      <c r="F21" s="12">
        <f>SUMIF(TabelaMCGA[Classificação],"Generos Alimentícios",TabelaMCGA[Abril])</f>
        <v>0</v>
      </c>
      <c r="G21" s="12">
        <f>SUMIF(TabelaMCGA[Classificação],"Generos Alimentícios",TabelaMCGA[Maio])</f>
        <v>0</v>
      </c>
      <c r="H21" s="12">
        <f>SUMIF(TabelaMCGA[Classificação],"Generos Alimentícios",TabelaMCGA[Junho])</f>
        <v>0</v>
      </c>
      <c r="I21" s="12">
        <f>SUMIF(TabelaMCGA[Classificação],"Generos Alimentícios",TabelaMCGA[Julho])</f>
        <v>0</v>
      </c>
      <c r="J21" s="12">
        <f>SUMIF(TabelaMCGA[Classificação],"Generos Alimentícios",TabelaMCGA[Agosto])</f>
        <v>0</v>
      </c>
      <c r="K21" s="12">
        <f>SUMIF(TabelaMCGA[Classificação],"Generos Alimentícios",TabelaMCGA[Setembro])</f>
        <v>0</v>
      </c>
      <c r="L21" s="12">
        <f>SUMIF(TabelaMCGA[Classificação],"Generos Alimentícios",TabelaMCGA[Outubro])</f>
        <v>0</v>
      </c>
      <c r="M21" s="12">
        <f>SUMIF(TabelaMCGA[Classificação],"Generos Alimentícios",TabelaMCGA[Novembro])</f>
        <v>0</v>
      </c>
      <c r="N21" s="12">
        <f>SUMIF(TabelaMCGA[Classificação],"Generos Alimentícios",TabelaMCGA[Dezembro])</f>
        <v>0</v>
      </c>
      <c r="O21" s="11">
        <f t="shared" si="2"/>
        <v>0</v>
      </c>
    </row>
    <row r="22" spans="1:15" s="1" customFormat="1" x14ac:dyDescent="0.25">
      <c r="A22" s="69" t="s">
        <v>61</v>
      </c>
      <c r="B22" s="8" t="s">
        <v>34</v>
      </c>
      <c r="C22" s="12">
        <f>SUMIF(TabelaServicosTerceiros[Classificação],"Coleta de Lixo Hospitalar",TabelaServicosTerceiros[Janeiro])</f>
        <v>0</v>
      </c>
      <c r="D22" s="12">
        <f>SUMIF(TabelaServicosTerceiros[Classificação],"Coleta de Lixo Hospitalar",TabelaServicosTerceiros[Fevereiro])</f>
        <v>0</v>
      </c>
      <c r="E22" s="12">
        <f>SUMIF(TabelaServicosTerceiros[Classificação],"Coleta de Lixo Hospitalar",TabelaServicosTerceiros[Março])</f>
        <v>0</v>
      </c>
      <c r="F22" s="12">
        <f>SUMIF(TabelaServicosTerceiros[Classificação],"Coleta de Lixo Hospitalar",TabelaServicosTerceiros[Abril])</f>
        <v>0</v>
      </c>
      <c r="G22" s="12">
        <f>SUMIF(TabelaServicosTerceiros[Classificação],"Coleta de Lixo Hospitalar",TabelaServicosTerceiros[Maio])</f>
        <v>0</v>
      </c>
      <c r="H22" s="12">
        <f>SUMIF(TabelaServicosTerceiros[Classificação],"Coleta de Lixo Hospitalar",TabelaServicosTerceiros[Junho])</f>
        <v>0</v>
      </c>
      <c r="I22" s="12">
        <f>SUMIF(TabelaServicosTerceiros[Classificação],"Coleta de Lixo Hospitalar",TabelaServicosTerceiros[Julho])</f>
        <v>0</v>
      </c>
      <c r="J22" s="12">
        <f>SUMIF(TabelaServicosTerceiros[Classificação],"Coleta de Lixo Hospitalar",TabelaServicosTerceiros[Agosto])</f>
        <v>0</v>
      </c>
      <c r="K22" s="12">
        <f>SUMIF(TabelaServicosTerceiros[Classificação],"Coleta de Lixo Hospitalar",TabelaServicosTerceiros[Setembro])</f>
        <v>0</v>
      </c>
      <c r="L22" s="12">
        <f>SUMIF(TabelaServicosTerceiros[Classificação],"Coleta de Lixo Hospitalar",TabelaServicosTerceiros[Outubro])</f>
        <v>0</v>
      </c>
      <c r="M22" s="12">
        <f>SUMIF(TabelaServicosTerceiros[Classificação],"Coleta de Lixo Hospitalar",TabelaServicosTerceiros[Novembro])</f>
        <v>0</v>
      </c>
      <c r="N22" s="12">
        <f>SUMIF(TabelaServicosTerceiros[Classificação],"Coleta de Lixo Hospitalar",TabelaServicosTerceiros[Dezembro])</f>
        <v>0</v>
      </c>
      <c r="O22" s="11">
        <f t="shared" si="2"/>
        <v>0</v>
      </c>
    </row>
    <row r="23" spans="1:15" s="1" customFormat="1" x14ac:dyDescent="0.25">
      <c r="A23" s="69"/>
      <c r="B23" s="8" t="s">
        <v>51</v>
      </c>
      <c r="C23" s="12">
        <f>SUMIF(TabelaServicosTerceiros[Classificação],"Assessoria Contábil",TabelaServicosTerceiros[Janeiro])</f>
        <v>0</v>
      </c>
      <c r="D23" s="12">
        <f>SUMIF(TabelaServicosTerceiros[Classificação],"Assessoria Contábil",TabelaServicosTerceiros[Fevereiro])</f>
        <v>0</v>
      </c>
      <c r="E23" s="12">
        <f>SUMIF(TabelaServicosTerceiros[Classificação],"Assessoria Contábil",TabelaServicosTerceiros[Março])</f>
        <v>0</v>
      </c>
      <c r="F23" s="12">
        <f>SUMIF(TabelaServicosTerceiros[Classificação],"Assessoria Contábil",TabelaServicosTerceiros[Abril])</f>
        <v>0</v>
      </c>
      <c r="G23" s="12">
        <f>SUMIF(TabelaServicosTerceiros[Classificação],"Assessoria Contábil",TabelaServicosTerceiros[Maio])</f>
        <v>0</v>
      </c>
      <c r="H23" s="12">
        <f>SUMIF(TabelaServicosTerceiros[Classificação],"Assessoria Contábil",TabelaServicosTerceiros[Junho])</f>
        <v>0</v>
      </c>
      <c r="I23" s="12">
        <f>SUMIF(TabelaServicosTerceiros[Classificação],"Assessoria Contábil",TabelaServicosTerceiros[Julho])</f>
        <v>0</v>
      </c>
      <c r="J23" s="12">
        <f>SUMIF(TabelaServicosTerceiros[Classificação],"Assessoria Contábil",TabelaServicosTerceiros[Agosto])</f>
        <v>0</v>
      </c>
      <c r="K23" s="12">
        <f>SUMIF(TabelaServicosTerceiros[Classificação],"Assessoria Contábil",TabelaServicosTerceiros[Setembro])</f>
        <v>0</v>
      </c>
      <c r="L23" s="12">
        <f>SUMIF(TabelaServicosTerceiros[Classificação],"Assessoria Contábil",TabelaServicosTerceiros[Outubro])</f>
        <v>0</v>
      </c>
      <c r="M23" s="12">
        <f>SUMIF(TabelaServicosTerceiros[Classificação],"Assessoria Contábil",TabelaServicosTerceiros[Novembro])</f>
        <v>0</v>
      </c>
      <c r="N23" s="12">
        <f>SUMIF(TabelaServicosTerceiros[Classificação],"Assessoria Contábil",TabelaServicosTerceiros[Dezembro])</f>
        <v>0</v>
      </c>
      <c r="O23" s="11">
        <f t="shared" si="2"/>
        <v>0</v>
      </c>
    </row>
    <row r="24" spans="1:15" s="1" customFormat="1" x14ac:dyDescent="0.25">
      <c r="A24" s="69"/>
      <c r="B24" s="8" t="s">
        <v>52</v>
      </c>
      <c r="C24" s="12">
        <f>SUMIF(TabelaServicosTerceiros[Classificação],"Limpeza e Conservação",TabelaServicosTerceiros[Janeiro])</f>
        <v>0</v>
      </c>
      <c r="D24" s="12">
        <f>SUMIF(TabelaServicosTerceiros[Classificação],"Limpeza e Conservação",TabelaServicosTerceiros[Fevereiro])</f>
        <v>0</v>
      </c>
      <c r="E24" s="12">
        <f>SUMIF(TabelaServicosTerceiros[Classificação],"Limpeza e Conservação",TabelaServicosTerceiros[Março])</f>
        <v>0</v>
      </c>
      <c r="F24" s="12">
        <f>SUMIF(TabelaServicosTerceiros[Classificação],"Limpeza e Conservação",TabelaServicosTerceiros[Abril])</f>
        <v>0</v>
      </c>
      <c r="G24" s="12">
        <f>SUMIF(TabelaServicosTerceiros[Classificação],"Limpeza e Conservação",TabelaServicosTerceiros[Maio])</f>
        <v>0</v>
      </c>
      <c r="H24" s="12">
        <f>SUMIF(TabelaServicosTerceiros[Classificação],"Limpeza e Conservação",TabelaServicosTerceiros[Junho])</f>
        <v>0</v>
      </c>
      <c r="I24" s="12">
        <f>SUMIF(TabelaServicosTerceiros[Classificação],"Limpeza e Conservação",TabelaServicosTerceiros[Julho])</f>
        <v>0</v>
      </c>
      <c r="J24" s="12">
        <f>SUMIF(TabelaServicosTerceiros[Classificação],"Limpeza e Conservação",TabelaServicosTerceiros[Agosto])</f>
        <v>0</v>
      </c>
      <c r="K24" s="12">
        <f>SUMIF(TabelaServicosTerceiros[Classificação],"Limpeza e Conservação",TabelaServicosTerceiros[Setembro])</f>
        <v>0</v>
      </c>
      <c r="L24" s="12">
        <f>SUMIF(TabelaServicosTerceiros[Classificação],"Limpeza e Conservação",TabelaServicosTerceiros[Outubro])</f>
        <v>0</v>
      </c>
      <c r="M24" s="12">
        <f>SUMIF(TabelaServicosTerceiros[Classificação],"Limpeza e Conservação",TabelaServicosTerceiros[Novembro])</f>
        <v>0</v>
      </c>
      <c r="N24" s="12">
        <f>SUMIF(TabelaServicosTerceiros[Classificação],"Limpeza e Conservação",TabelaServicosTerceiros[Dezembro])</f>
        <v>0</v>
      </c>
      <c r="O24" s="11">
        <f>SUM(C24:N24)</f>
        <v>0</v>
      </c>
    </row>
    <row r="25" spans="1:15" s="1" customFormat="1" x14ac:dyDescent="0.25">
      <c r="A25" s="69"/>
      <c r="B25" s="8" t="s">
        <v>53</v>
      </c>
      <c r="C25" s="12">
        <f>SUMIF(TabelaRH6[Vínculo],"RPA",TabelaRH6[Janeiro])+SUMIF(TabelaServicosTerceiros[Classificação],"Serviços de Terceiros PF",TabelaServicosTerceiros[Janeiro])</f>
        <v>0</v>
      </c>
      <c r="D25" s="12">
        <f>SUMIF(TabelaRH6[Vínculo],"RPA",TabelaRH6[Fevereiro])+SUMIF(TabelaServicosTerceiros[Classificação],"Serviços de Terceiros PF",TabelaServicosTerceiros[Fevereiro])</f>
        <v>0</v>
      </c>
      <c r="E25" s="12">
        <f>SUMIF(TabelaRH6[Vínculo],"RPA",TabelaRH6[Março])+SUMIF(TabelaServicosTerceiros[Classificação],"Serviços de Terceiros PF",TabelaServicosTerceiros[Março])</f>
        <v>0</v>
      </c>
      <c r="F25" s="12">
        <f>SUMIF(TabelaRH6[Vínculo],"RPA",TabelaRH6[Abril])+SUMIF(TabelaServicosTerceiros[Classificação],"Serviços de Terceiros PF",TabelaServicosTerceiros[Abril])</f>
        <v>0</v>
      </c>
      <c r="G25" s="12">
        <f>SUMIF(TabelaRH6[Vínculo],"RPA",TabelaRH6[Maio])+SUMIF(TabelaServicosTerceiros[Classificação],"Serviços de Terceiros PF",TabelaServicosTerceiros[Maio])</f>
        <v>0</v>
      </c>
      <c r="H25" s="12">
        <f>SUMIF(TabelaRH6[Vínculo],"RPA",TabelaRH6[Junho])+SUMIF(TabelaServicosTerceiros[Classificação],"Serviços de Terceiros PF",TabelaServicosTerceiros[Junho])</f>
        <v>0</v>
      </c>
      <c r="I25" s="12">
        <f>SUMIF(TabelaRH6[Vínculo],"RPA",TabelaRH6[Julho])+SUMIF(TabelaServicosTerceiros[Classificação],"Serviços de Terceiros PF",TabelaServicosTerceiros[Julho])</f>
        <v>0</v>
      </c>
      <c r="J25" s="12">
        <f>SUMIF(TabelaRH6[Vínculo],"RPA",TabelaRH6[Agosto])+SUMIF(TabelaServicosTerceiros[Classificação],"Serviços de Terceiros PF",TabelaServicosTerceiros[Agosto])</f>
        <v>0</v>
      </c>
      <c r="K25" s="12">
        <f>SUMIF(TabelaRH6[Vínculo],"RPA",TabelaRH6[Setembro])+SUMIF(TabelaServicosTerceiros[Classificação],"Serviços de Terceiros PF",TabelaServicosTerceiros[Setembro])</f>
        <v>0</v>
      </c>
      <c r="L25" s="12">
        <f>SUMIF(TabelaRH6[Vínculo],"RPA",TabelaRH6[Outubro])+SUMIF(TabelaServicosTerceiros[Classificação],"Serviços de Terceiros PF",TabelaServicosTerceiros[Outubro])</f>
        <v>0</v>
      </c>
      <c r="M25" s="12">
        <f>SUMIF(TabelaRH6[Vínculo],"RPA",TabelaRH6[Novembro])+SUMIF(TabelaServicosTerceiros[Classificação],"Serviços de Terceiros PF",TabelaServicosTerceiros[Novembro])</f>
        <v>0</v>
      </c>
      <c r="N25" s="12">
        <f>SUMIF(TabelaRH6[Vínculo],"RPA",TabelaRH6[Dezembro])+SUMIF(TabelaServicosTerceiros[Classificação],"Serviços de Terceiros PF",TabelaServicosTerceiros[Dezembro])</f>
        <v>0</v>
      </c>
      <c r="O25" s="11">
        <f t="shared" si="2"/>
        <v>0</v>
      </c>
    </row>
    <row r="26" spans="1:15" s="1" customFormat="1" x14ac:dyDescent="0.25">
      <c r="A26" s="69"/>
      <c r="B26" s="8" t="s">
        <v>54</v>
      </c>
      <c r="C26" s="12">
        <f>SUMIF(TabelaRH6[Vínculo],"MEI",TabelaRH6[Janeiro])+SUMIF(TabelaServicosTerceiros[Classificação],"Serviços de Terceiros PJ",TabelaServicosTerceiros[Janeiro])</f>
        <v>0</v>
      </c>
      <c r="D26" s="12">
        <f>SUMIF(TabelaRH6[Vínculo],"MEI",TabelaRH6[Fevereiro])+SUMIF(TabelaServicosTerceiros[Classificação],"Serviços de Terceiros PJ",TabelaServicosTerceiros[Fevereiro])</f>
        <v>0</v>
      </c>
      <c r="E26" s="12">
        <f>SUMIF(TabelaRH6[Vínculo],"MEI",TabelaRH6[Março])+SUMIF(TabelaServicosTerceiros[Classificação],"Serviços de Terceiros PJ",TabelaServicosTerceiros[Março])</f>
        <v>0</v>
      </c>
      <c r="F26" s="12">
        <f>SUMIF(TabelaRH6[Vínculo],"MEI",TabelaRH6[Abril])+SUMIF(TabelaServicosTerceiros[Classificação],"Serviços de Terceiros PJ",TabelaServicosTerceiros[Abril])</f>
        <v>0</v>
      </c>
      <c r="G26" s="12">
        <f>SUMIF(TabelaRH6[Vínculo],"MEI",TabelaRH6[Maio])+SUMIF(TabelaServicosTerceiros[Classificação],"Serviços de Terceiros PJ",TabelaServicosTerceiros[Maio])</f>
        <v>0</v>
      </c>
      <c r="H26" s="12">
        <f>SUMIF(TabelaRH6[Vínculo],"MEI",TabelaRH6[Junho])+SUMIF(TabelaServicosTerceiros[Classificação],"Serviços de Terceiros PJ",TabelaServicosTerceiros[Junho])</f>
        <v>0</v>
      </c>
      <c r="I26" s="12">
        <f>SUMIF(TabelaRH6[Vínculo],"MEI",TabelaRH6[Julho])+SUMIF(TabelaServicosTerceiros[Classificação],"Serviços de Terceiros PJ",TabelaServicosTerceiros[Julho])</f>
        <v>0</v>
      </c>
      <c r="J26" s="12">
        <f>SUMIF(TabelaRH6[Vínculo],"MEI",TabelaRH6[Agosto])+SUMIF(TabelaServicosTerceiros[Classificação],"Serviços de Terceiros PJ",TabelaServicosTerceiros[Agosto])</f>
        <v>0</v>
      </c>
      <c r="K26" s="12">
        <f>SUMIF(TabelaRH6[Vínculo],"MEI",TabelaRH6[Setembro])+SUMIF(TabelaServicosTerceiros[Classificação],"Serviços de Terceiros PJ",TabelaServicosTerceiros[Setembro])</f>
        <v>0</v>
      </c>
      <c r="L26" s="12">
        <f>SUMIF(TabelaRH6[Vínculo],"MEI",TabelaRH6[Outubro])+SUMIF(TabelaServicosTerceiros[Classificação],"Serviços de Terceiros PJ",TabelaServicosTerceiros[Outubro])</f>
        <v>0</v>
      </c>
      <c r="M26" s="12">
        <f>SUMIF(TabelaRH6[Vínculo],"MEI",TabelaRH6[Novembro])+SUMIF(TabelaServicosTerceiros[Classificação],"Serviços de Terceiros PJ",TabelaServicosTerceiros[Novembro])</f>
        <v>0</v>
      </c>
      <c r="N26" s="12">
        <f>SUMIF(TabelaRH6[Vínculo],"MEI",TabelaRH6[Dezembro])+SUMIF(TabelaServicosTerceiros[Classificação],"Serviços de Terceiros PJ",TabelaServicosTerceiros[Dezembro])</f>
        <v>0</v>
      </c>
      <c r="O26" s="11">
        <f t="shared" si="2"/>
        <v>0</v>
      </c>
    </row>
    <row r="27" spans="1:15" s="1" customFormat="1" x14ac:dyDescent="0.25">
      <c r="A27" s="69"/>
      <c r="B27" s="8" t="s">
        <v>55</v>
      </c>
      <c r="C27" s="12">
        <f>SUMIF(TabelaServicosTerceiros[Classificação],"Serviços de TI",TabelaServicosTerceiros[Janeiro])</f>
        <v>0</v>
      </c>
      <c r="D27" s="12">
        <f>SUMIF(TabelaServicosTerceiros[Classificação],"Serviços de TI",TabelaServicosTerceiros[Fevereiro])</f>
        <v>0</v>
      </c>
      <c r="E27" s="12">
        <f>SUMIF(TabelaServicosTerceiros[Classificação],"Serviços de TI",TabelaServicosTerceiros[Março])</f>
        <v>0</v>
      </c>
      <c r="F27" s="12">
        <f>SUMIF(TabelaServicosTerceiros[Classificação],"Serviços de TI",TabelaServicosTerceiros[Abril])</f>
        <v>0</v>
      </c>
      <c r="G27" s="12">
        <f>SUMIF(TabelaServicosTerceiros[Classificação],"Serviços de TI",TabelaServicosTerceiros[Maio])</f>
        <v>0</v>
      </c>
      <c r="H27" s="12">
        <f>SUMIF(TabelaServicosTerceiros[Classificação],"Serviços de TI",TabelaServicosTerceiros[Junho])</f>
        <v>0</v>
      </c>
      <c r="I27" s="12">
        <f>SUMIF(TabelaServicosTerceiros[Classificação],"Serviços de TI",TabelaServicosTerceiros[Julho])</f>
        <v>0</v>
      </c>
      <c r="J27" s="12">
        <f>SUMIF(TabelaServicosTerceiros[Classificação],"Serviços de TI",TabelaServicosTerceiros[Agosto])</f>
        <v>0</v>
      </c>
      <c r="K27" s="12">
        <f>SUMIF(TabelaServicosTerceiros[Classificação],"Serviços de TI",TabelaServicosTerceiros[Setembro])</f>
        <v>0</v>
      </c>
      <c r="L27" s="12">
        <f>SUMIF(TabelaServicosTerceiros[Classificação],"Serviços de TI",TabelaServicosTerceiros[Outubro])</f>
        <v>0</v>
      </c>
      <c r="M27" s="12">
        <f>SUMIF(TabelaServicosTerceiros[Classificação],"Serviços de TI",TabelaServicosTerceiros[Novembro])</f>
        <v>0</v>
      </c>
      <c r="N27" s="12">
        <f>SUMIF(TabelaServicosTerceiros[Classificação],"Serviços de TI",TabelaServicosTerceiros[Dezembro])</f>
        <v>0</v>
      </c>
      <c r="O27" s="11">
        <f t="shared" si="2"/>
        <v>0</v>
      </c>
    </row>
    <row r="28" spans="1:15" s="1" customFormat="1" x14ac:dyDescent="0.25">
      <c r="A28" s="69"/>
      <c r="B28" s="8" t="s">
        <v>56</v>
      </c>
      <c r="C28" s="12">
        <f>SUMIF(TabelaServicosTerceiros[Classificação],"Vigilância",TabelaServicosTerceiros[Janeiro])</f>
        <v>0</v>
      </c>
      <c r="D28" s="12">
        <f>SUMIF(TabelaServicosTerceiros[Classificação],"Vigilância",TabelaServicosTerceiros[Fevereiro])</f>
        <v>0</v>
      </c>
      <c r="E28" s="12">
        <f>SUMIF(TabelaServicosTerceiros[Classificação],"Vigilância",TabelaServicosTerceiros[Março])</f>
        <v>0</v>
      </c>
      <c r="F28" s="12">
        <f>SUMIF(TabelaServicosTerceiros[Classificação],"Vigilância",TabelaServicosTerceiros[Abril])</f>
        <v>0</v>
      </c>
      <c r="G28" s="12">
        <f>SUMIF(TabelaServicosTerceiros[Classificação],"Vigilância",TabelaServicosTerceiros[Maio])</f>
        <v>0</v>
      </c>
      <c r="H28" s="12">
        <f>SUMIF(TabelaServicosTerceiros[Classificação],"Vigilância",TabelaServicosTerceiros[Junho])</f>
        <v>0</v>
      </c>
      <c r="I28" s="12">
        <f>SUMIF(TabelaServicosTerceiros[Classificação],"Vigilância",TabelaServicosTerceiros[Julho])</f>
        <v>0</v>
      </c>
      <c r="J28" s="12">
        <f>SUMIF(TabelaServicosTerceiros[Classificação],"Vigilância",TabelaServicosTerceiros[Agosto])</f>
        <v>0</v>
      </c>
      <c r="K28" s="12">
        <f>SUMIF(TabelaServicosTerceiros[Classificação],"Vigilância",TabelaServicosTerceiros[Setembro])</f>
        <v>0</v>
      </c>
      <c r="L28" s="12">
        <f>SUMIF(TabelaServicosTerceiros[Classificação],"Vigilância",TabelaServicosTerceiros[Outubro])</f>
        <v>0</v>
      </c>
      <c r="M28" s="12">
        <f>SUMIF(TabelaServicosTerceiros[Classificação],"Vigilância",TabelaServicosTerceiros[Novembro])</f>
        <v>0</v>
      </c>
      <c r="N28" s="12">
        <f>SUMIF(TabelaServicosTerceiros[Classificação],"Vigilância",TabelaServicosTerceiros[Dezembro])</f>
        <v>0</v>
      </c>
      <c r="O28" s="11">
        <f t="shared" si="2"/>
        <v>0</v>
      </c>
    </row>
    <row r="29" spans="1:15" s="1" customFormat="1" x14ac:dyDescent="0.25">
      <c r="A29" s="69"/>
      <c r="B29" s="8" t="s">
        <v>70</v>
      </c>
      <c r="C29" s="12">
        <f>SUMIF(TabelaServicosTerceiros[Classificação],"Manutenção Equip. de Informática",TabelaServicosTerceiros[Janeiro])</f>
        <v>0</v>
      </c>
      <c r="D29" s="12">
        <f>SUMIF(TabelaServicosTerceiros[Classificação],"Manutenção Equip. de Informática",TabelaServicosTerceiros[Fevereiro])</f>
        <v>0</v>
      </c>
      <c r="E29" s="12">
        <f>SUMIF(TabelaServicosTerceiros[Classificação],"Manutenção Equip. de Informática",TabelaServicosTerceiros[Março])</f>
        <v>0</v>
      </c>
      <c r="F29" s="12">
        <f>SUMIF(TabelaServicosTerceiros[Classificação],"Manutenção Equip. de Informática",TabelaServicosTerceiros[Abril])</f>
        <v>0</v>
      </c>
      <c r="G29" s="12">
        <f>SUMIF(TabelaServicosTerceiros[Classificação],"Manutenção Equip. de Informática",TabelaServicosTerceiros[Maio])</f>
        <v>0</v>
      </c>
      <c r="H29" s="12">
        <f>SUMIF(TabelaServicosTerceiros[Classificação],"Manutenção Equip. de Informática",TabelaServicosTerceiros[Junho])</f>
        <v>0</v>
      </c>
      <c r="I29" s="12">
        <f>SUMIF(TabelaServicosTerceiros[Classificação],"Manutenção Equip. de Informática",TabelaServicosTerceiros[Julho])</f>
        <v>0</v>
      </c>
      <c r="J29" s="12">
        <f>SUMIF(TabelaServicosTerceiros[Classificação],"Manutenção Equip. de Informática",TabelaServicosTerceiros[Agosto])</f>
        <v>0</v>
      </c>
      <c r="K29" s="12">
        <f>SUMIF(TabelaServicosTerceiros[Classificação],"Manutenção Equip. de Informática",TabelaServicosTerceiros[Setembro])</f>
        <v>0</v>
      </c>
      <c r="L29" s="12">
        <f>SUMIF(TabelaServicosTerceiros[Classificação],"Manutenção Equip. de Informática",TabelaServicosTerceiros[Outubro])</f>
        <v>0</v>
      </c>
      <c r="M29" s="12">
        <f>SUMIF(TabelaServicosTerceiros[Classificação],"Manutenção Equip. de Informática",TabelaServicosTerceiros[Novembro])</f>
        <v>0</v>
      </c>
      <c r="N29" s="12">
        <f>SUMIF(TabelaServicosTerceiros[Classificação],"Manutenção Equip. de Informática",TabelaServicosTerceiros[Dezembro])</f>
        <v>0</v>
      </c>
      <c r="O29" s="11">
        <f t="shared" si="2"/>
        <v>0</v>
      </c>
    </row>
    <row r="30" spans="1:15" s="1" customFormat="1" x14ac:dyDescent="0.25">
      <c r="A30" s="69"/>
      <c r="B30" s="8" t="s">
        <v>60</v>
      </c>
      <c r="C30" s="12">
        <f>SUMIF(TabelaServicosTerceiros[Classificação],"Predial e Imobiliário",TabelaServicosTerceiros[Janeiro])</f>
        <v>0</v>
      </c>
      <c r="D30" s="12">
        <f>SUMIF(TabelaServicosTerceiros[Classificação],"Predial e Imobiliário",TabelaServicosTerceiros[Fevereiro])</f>
        <v>0</v>
      </c>
      <c r="E30" s="12">
        <f>SUMIF(TabelaServicosTerceiros[Classificação],"Predial e Imobiliário",TabelaServicosTerceiros[Março])</f>
        <v>0</v>
      </c>
      <c r="F30" s="12">
        <f>SUMIF(TabelaServicosTerceiros[Classificação],"Predial e Imobiliário",TabelaServicosTerceiros[Abril])</f>
        <v>0</v>
      </c>
      <c r="G30" s="12">
        <f>SUMIF(TabelaServicosTerceiros[Classificação],"Predial e Imobiliário",TabelaServicosTerceiros[Maio])</f>
        <v>0</v>
      </c>
      <c r="H30" s="12">
        <f>SUMIF(TabelaServicosTerceiros[Classificação],"Predial e Imobiliário",TabelaServicosTerceiros[Junho])</f>
        <v>0</v>
      </c>
      <c r="I30" s="12">
        <f>SUMIF(TabelaServicosTerceiros[Classificação],"Predial e Imobiliário",TabelaServicosTerceiros[Julho])</f>
        <v>0</v>
      </c>
      <c r="J30" s="12">
        <f>SUMIF(TabelaServicosTerceiros[Classificação],"Predial e Imobiliário",TabelaServicosTerceiros[Agosto])</f>
        <v>0</v>
      </c>
      <c r="K30" s="12">
        <f>SUMIF(TabelaServicosTerceiros[Classificação],"Predial e Imobiliário",TabelaServicosTerceiros[Setembro])</f>
        <v>0</v>
      </c>
      <c r="L30" s="12">
        <f>SUMIF(TabelaServicosTerceiros[Classificação],"Predial e Imobiliário",TabelaServicosTerceiros[Outubro])</f>
        <v>0</v>
      </c>
      <c r="M30" s="12">
        <f>SUMIF(TabelaServicosTerceiros[Classificação],"Predial e Imobiliário",TabelaServicosTerceiros[Novembro])</f>
        <v>0</v>
      </c>
      <c r="N30" s="12">
        <f>SUMIF(TabelaServicosTerceiros[Classificação],"Predial e Imobiliário",TabelaServicosTerceiros[Dezembro])</f>
        <v>0</v>
      </c>
      <c r="O30" s="11">
        <f t="shared" si="2"/>
        <v>0</v>
      </c>
    </row>
    <row r="31" spans="1:15" s="1" customFormat="1" x14ac:dyDescent="0.25">
      <c r="A31" s="69"/>
      <c r="B31" s="8" t="s">
        <v>59</v>
      </c>
      <c r="C31" s="12">
        <f>SUMIF(TabelaServicosTerceiros[Classificação],"Veículos",TabelaServicosTerceiros[Janeiro])</f>
        <v>0</v>
      </c>
      <c r="D31" s="12">
        <f>SUMIF(TabelaServicosTerceiros[Classificação],"Veículos",TabelaServicosTerceiros[Fevereiro])</f>
        <v>0</v>
      </c>
      <c r="E31" s="12">
        <f>SUMIF(TabelaServicosTerceiros[Classificação],"Veículos",TabelaServicosTerceiros[Março])</f>
        <v>0</v>
      </c>
      <c r="F31" s="12">
        <f>SUMIF(TabelaServicosTerceiros[Classificação],"Veículos",TabelaServicosTerceiros[Abril])</f>
        <v>0</v>
      </c>
      <c r="G31" s="12">
        <f>SUMIF(TabelaServicosTerceiros[Classificação],"Veículos",TabelaServicosTerceiros[Maio])</f>
        <v>0</v>
      </c>
      <c r="H31" s="12">
        <f>SUMIF(TabelaServicosTerceiros[Classificação],"Veículos",TabelaServicosTerceiros[Junho])</f>
        <v>0</v>
      </c>
      <c r="I31" s="12">
        <f>SUMIF(TabelaServicosTerceiros[Classificação],"Veículos",TabelaServicosTerceiros[Julho])</f>
        <v>0</v>
      </c>
      <c r="J31" s="12">
        <f>SUMIF(TabelaServicosTerceiros[Classificação],"Veículos",TabelaServicosTerceiros[Agosto])</f>
        <v>0</v>
      </c>
      <c r="K31" s="12">
        <f>SUMIF(TabelaServicosTerceiros[Classificação],"Veículos",TabelaServicosTerceiros[Setembro])</f>
        <v>0</v>
      </c>
      <c r="L31" s="12">
        <f>SUMIF(TabelaServicosTerceiros[Classificação],"Veículos",TabelaServicosTerceiros[Outubro])</f>
        <v>0</v>
      </c>
      <c r="M31" s="12">
        <f>SUMIF(TabelaServicosTerceiros[Classificação],"Veículos",TabelaServicosTerceiros[Novembro])</f>
        <v>0</v>
      </c>
      <c r="N31" s="12">
        <f>SUMIF(TabelaServicosTerceiros[Classificação],"Veículos",TabelaServicosTerceiros[Dezembro])</f>
        <v>0</v>
      </c>
      <c r="O31" s="11">
        <f>SUM(C31:N31)</f>
        <v>0</v>
      </c>
    </row>
    <row r="32" spans="1:15" s="1" customFormat="1" x14ac:dyDescent="0.25">
      <c r="A32" s="69"/>
      <c r="B32" s="8" t="s">
        <v>69</v>
      </c>
      <c r="C32" s="12">
        <f>SUMIF(TabelaServicosTerceiros[Classificação],"Manutenção Equip. Médico Hospitalar",TabelaServicosTerceiros[Janeiro])</f>
        <v>0</v>
      </c>
      <c r="D32" s="12">
        <f>SUMIF(TabelaServicosTerceiros[Classificação],"Manutenção Equip. Médico Hospitalar",TabelaServicosTerceiros[Fevereiro])</f>
        <v>0</v>
      </c>
      <c r="E32" s="12">
        <f>SUMIF(TabelaServicosTerceiros[Classificação],"Manutenção Equip. Médico Hospitalar",TabelaServicosTerceiros[Março])</f>
        <v>0</v>
      </c>
      <c r="F32" s="12">
        <f>SUMIF(TabelaServicosTerceiros[Classificação],"Manutenção Equip. Médico Hospitalar",TabelaServicosTerceiros[Abril])</f>
        <v>0</v>
      </c>
      <c r="G32" s="12">
        <f>SUMIF(TabelaServicosTerceiros[Classificação],"Manutenção Equip. Médico Hospitalar",TabelaServicosTerceiros[Maio])</f>
        <v>0</v>
      </c>
      <c r="H32" s="12">
        <f>SUMIF(TabelaServicosTerceiros[Classificação],"Manutenção Equip. Médico Hospitalar",TabelaServicosTerceiros[Junho])</f>
        <v>0</v>
      </c>
      <c r="I32" s="12">
        <f>SUMIF(TabelaServicosTerceiros[Classificação],"Manutenção Equip. Médico Hospitalar",TabelaServicosTerceiros[Julho])</f>
        <v>0</v>
      </c>
      <c r="J32" s="12">
        <f>SUMIF(TabelaServicosTerceiros[Classificação],"Manutenção Equip. Médico Hospitalar",TabelaServicosTerceiros[Agosto])</f>
        <v>0</v>
      </c>
      <c r="K32" s="12">
        <f>SUMIF(TabelaServicosTerceiros[Classificação],"Manutenção Equip. Médico Hospitalar",TabelaServicosTerceiros[Setembro])</f>
        <v>0</v>
      </c>
      <c r="L32" s="12">
        <f>SUMIF(TabelaServicosTerceiros[Classificação],"Manutenção Equip. Médico Hospitalar",TabelaServicosTerceiros[Outubro])</f>
        <v>0</v>
      </c>
      <c r="M32" s="12">
        <f>SUMIF(TabelaServicosTerceiros[Classificação],"Manutenção Equip. Médico Hospitalar",TabelaServicosTerceiros[Novembro])</f>
        <v>0</v>
      </c>
      <c r="N32" s="12">
        <f>SUMIF(TabelaServicosTerceiros[Classificação],"Manutenção Equip. Médico Hospitalar",TabelaServicosTerceiros[Dezembro])</f>
        <v>0</v>
      </c>
      <c r="O32" s="11">
        <f>SUM(C32:N32)</f>
        <v>0</v>
      </c>
    </row>
    <row r="33" spans="1:15" s="1" customFormat="1" x14ac:dyDescent="0.25">
      <c r="A33" s="64" t="s">
        <v>6</v>
      </c>
      <c r="B33" s="8" t="s">
        <v>7</v>
      </c>
      <c r="C33" s="12">
        <f>SUMIF(TabelaUtilidadesPublicas[Classificação],"Água e Esgoto",TabelaUtilidadesPublicas[Janeiro])</f>
        <v>0</v>
      </c>
      <c r="D33" s="12">
        <f>SUMIF(TabelaUtilidadesPublicas[Classificação],"Água e Esgoto",TabelaUtilidadesPublicas[Fevereiro])</f>
        <v>0</v>
      </c>
      <c r="E33" s="12">
        <f>SUMIF(TabelaUtilidadesPublicas[Classificação],"Água e Esgoto",TabelaUtilidadesPublicas[Março])</f>
        <v>0</v>
      </c>
      <c r="F33" s="12">
        <f>SUMIF(TabelaUtilidadesPublicas[Classificação],"Água e Esgoto",TabelaUtilidadesPublicas[Abril])</f>
        <v>0</v>
      </c>
      <c r="G33" s="12">
        <f>SUMIF(TabelaUtilidadesPublicas[Classificação],"Água e Esgoto",TabelaUtilidadesPublicas[Maio])</f>
        <v>0</v>
      </c>
      <c r="H33" s="12">
        <f>SUMIF(TabelaUtilidadesPublicas[Classificação],"Água e Esgoto",TabelaUtilidadesPublicas[Junho])</f>
        <v>0</v>
      </c>
      <c r="I33" s="12">
        <f>SUMIF(TabelaUtilidadesPublicas[Classificação],"Água e Esgoto",TabelaUtilidadesPublicas[Julho])</f>
        <v>0</v>
      </c>
      <c r="J33" s="12">
        <f>SUMIF(TabelaUtilidadesPublicas[Classificação],"Água e Esgoto",TabelaUtilidadesPublicas[Agosto])</f>
        <v>0</v>
      </c>
      <c r="K33" s="12">
        <f>SUMIF(TabelaUtilidadesPublicas[Classificação],"Água e Esgoto",TabelaUtilidadesPublicas[Setembro])</f>
        <v>0</v>
      </c>
      <c r="L33" s="12">
        <f>SUMIF(TabelaUtilidadesPublicas[Classificação],"Água e Esgoto",TabelaUtilidadesPublicas[Outubro])</f>
        <v>0</v>
      </c>
      <c r="M33" s="12">
        <f>SUMIF(TabelaUtilidadesPublicas[Classificação],"Água e Esgoto",TabelaUtilidadesPublicas[Novembro])</f>
        <v>0</v>
      </c>
      <c r="N33" s="12">
        <f>SUMIF(TabelaUtilidadesPublicas[Classificação],"Água e Esgoto",TabelaUtilidadesPublicas[Dezembro])</f>
        <v>0</v>
      </c>
      <c r="O33" s="11">
        <f t="shared" ref="O33:O41" si="3">SUM(C33:N33)</f>
        <v>0</v>
      </c>
    </row>
    <row r="34" spans="1:15" s="1" customFormat="1" x14ac:dyDescent="0.25">
      <c r="A34" s="70"/>
      <c r="B34" s="8" t="s">
        <v>8</v>
      </c>
      <c r="C34" s="12">
        <f>SUMIF(TabelaUtilidadesPublicas[Classificação],"Força e Luz",TabelaUtilidadesPublicas[Janeiro])</f>
        <v>0</v>
      </c>
      <c r="D34" s="12">
        <f>SUMIF(TabelaUtilidadesPublicas[Classificação],"Força e Luz",TabelaUtilidadesPublicas[Fevereiro])</f>
        <v>0</v>
      </c>
      <c r="E34" s="12">
        <f>SUMIF(TabelaUtilidadesPublicas[Classificação],"Força e Luz",TabelaUtilidadesPublicas[Março])</f>
        <v>0</v>
      </c>
      <c r="F34" s="12">
        <f>SUMIF(TabelaUtilidadesPublicas[Classificação],"Força e Luz",TabelaUtilidadesPublicas[Abril])</f>
        <v>0</v>
      </c>
      <c r="G34" s="12">
        <f>SUMIF(TabelaUtilidadesPublicas[Classificação],"Força e Luz",TabelaUtilidadesPublicas[Maio])</f>
        <v>0</v>
      </c>
      <c r="H34" s="12">
        <f>SUMIF(TabelaUtilidadesPublicas[Classificação],"Força e Luz",TabelaUtilidadesPublicas[Junho])</f>
        <v>0</v>
      </c>
      <c r="I34" s="12">
        <f>SUMIF(TabelaUtilidadesPublicas[Classificação],"Força e Luz",TabelaUtilidadesPublicas[Julho])</f>
        <v>0</v>
      </c>
      <c r="J34" s="12">
        <f>SUMIF(TabelaUtilidadesPublicas[Classificação],"Força e Luz",TabelaUtilidadesPublicas[Agosto])</f>
        <v>0</v>
      </c>
      <c r="K34" s="12">
        <f>SUMIF(TabelaUtilidadesPublicas[Classificação],"Força e Luz",TabelaUtilidadesPublicas[Setembro])</f>
        <v>0</v>
      </c>
      <c r="L34" s="12">
        <f>SUMIF(TabelaUtilidadesPublicas[Classificação],"Força e Luz",TabelaUtilidadesPublicas[Outubro])</f>
        <v>0</v>
      </c>
      <c r="M34" s="12">
        <f>SUMIF(TabelaUtilidadesPublicas[Classificação],"Força e Luz",TabelaUtilidadesPublicas[Novembro])</f>
        <v>0</v>
      </c>
      <c r="N34" s="12">
        <f>SUMIF(TabelaUtilidadesPublicas[Classificação],"Força e Luz",TabelaUtilidadesPublicas[Dezembro])</f>
        <v>0</v>
      </c>
      <c r="O34" s="11">
        <f t="shared" si="3"/>
        <v>0</v>
      </c>
    </row>
    <row r="35" spans="1:15" s="1" customFormat="1" x14ac:dyDescent="0.25">
      <c r="A35" s="70"/>
      <c r="B35" s="8" t="s">
        <v>9</v>
      </c>
      <c r="C35" s="12">
        <f>SUMIF(TabelaUtilidadesPublicas[Classificação],"Internet",TabelaUtilidadesPublicas[Janeiro])</f>
        <v>0</v>
      </c>
      <c r="D35" s="12">
        <f>SUMIF(TabelaUtilidadesPublicas[Classificação],"Internet",TabelaUtilidadesPublicas[Fevereiro])</f>
        <v>0</v>
      </c>
      <c r="E35" s="12">
        <f>SUMIF(TabelaUtilidadesPublicas[Classificação],"Internet",TabelaUtilidadesPublicas[Março])</f>
        <v>0</v>
      </c>
      <c r="F35" s="12">
        <f>SUMIF(TabelaUtilidadesPublicas[Classificação],"Internet",TabelaUtilidadesPublicas[Abril])</f>
        <v>0</v>
      </c>
      <c r="G35" s="12">
        <f>SUMIF(TabelaUtilidadesPublicas[Classificação],"Internet",TabelaUtilidadesPublicas[Maio])</f>
        <v>0</v>
      </c>
      <c r="H35" s="12">
        <f>SUMIF(TabelaUtilidadesPublicas[Classificação],"Internet",TabelaUtilidadesPublicas[Junho])</f>
        <v>0</v>
      </c>
      <c r="I35" s="12">
        <f>SUMIF(TabelaUtilidadesPublicas[Classificação],"Internet",TabelaUtilidadesPublicas[Julho])</f>
        <v>0</v>
      </c>
      <c r="J35" s="12">
        <f>SUMIF(TabelaUtilidadesPublicas[Classificação],"Internet",TabelaUtilidadesPublicas[Agosto])</f>
        <v>0</v>
      </c>
      <c r="K35" s="12">
        <f>SUMIF(TabelaUtilidadesPublicas[Classificação],"Internet",TabelaUtilidadesPublicas[Setembro])</f>
        <v>0</v>
      </c>
      <c r="L35" s="12">
        <f>SUMIF(TabelaUtilidadesPublicas[Classificação],"Internet",TabelaUtilidadesPublicas[Outubro])</f>
        <v>0</v>
      </c>
      <c r="M35" s="12">
        <f>SUMIF(TabelaUtilidadesPublicas[Classificação],"Internet",TabelaUtilidadesPublicas[Novembro])</f>
        <v>0</v>
      </c>
      <c r="N35" s="12">
        <f>SUMIF(TabelaUtilidadesPublicas[Classificação],"Internet",TabelaUtilidadesPublicas[Dezembro])</f>
        <v>0</v>
      </c>
      <c r="O35" s="11">
        <f t="shared" si="3"/>
        <v>0</v>
      </c>
    </row>
    <row r="36" spans="1:15" s="1" customFormat="1" x14ac:dyDescent="0.25">
      <c r="A36" s="65"/>
      <c r="B36" s="8" t="s">
        <v>10</v>
      </c>
      <c r="C36" s="12">
        <f>SUMIF(TabelaUtilidadesPublicas[Classificação],"Telefones",TabelaUtilidadesPublicas[Janeiro])</f>
        <v>0</v>
      </c>
      <c r="D36" s="12">
        <f>SUMIF(TabelaUtilidadesPublicas[Classificação],"Telefones",TabelaUtilidadesPublicas[Fevereiro])</f>
        <v>0</v>
      </c>
      <c r="E36" s="12">
        <f>SUMIF(TabelaUtilidadesPublicas[Classificação],"Telefones",TabelaUtilidadesPublicas[Março])</f>
        <v>0</v>
      </c>
      <c r="F36" s="12">
        <f>SUMIF(TabelaUtilidadesPublicas[Classificação],"Telefones",TabelaUtilidadesPublicas[Abril])</f>
        <v>0</v>
      </c>
      <c r="G36" s="12">
        <f>SUMIF(TabelaUtilidadesPublicas[Classificação],"Telefones",TabelaUtilidadesPublicas[Maio])</f>
        <v>0</v>
      </c>
      <c r="H36" s="12">
        <f>SUMIF(TabelaUtilidadesPublicas[Classificação],"Telefones",TabelaUtilidadesPublicas[Junho])</f>
        <v>0</v>
      </c>
      <c r="I36" s="12">
        <f>SUMIF(TabelaUtilidadesPublicas[Classificação],"Telefones",TabelaUtilidadesPublicas[Julho])</f>
        <v>0</v>
      </c>
      <c r="J36" s="12">
        <f>SUMIF(TabelaUtilidadesPublicas[Classificação],"Telefones",TabelaUtilidadesPublicas[Agosto])</f>
        <v>0</v>
      </c>
      <c r="K36" s="12">
        <f>SUMIF(TabelaUtilidadesPublicas[Classificação],"Telefones",TabelaUtilidadesPublicas[Setembro])</f>
        <v>0</v>
      </c>
      <c r="L36" s="12">
        <f>SUMIF(TabelaUtilidadesPublicas[Classificação],"Telefones",TabelaUtilidadesPublicas[Outubro])</f>
        <v>0</v>
      </c>
      <c r="M36" s="12">
        <f>SUMIF(TabelaUtilidadesPublicas[Classificação],"Telefones",TabelaUtilidadesPublicas[Novembro])</f>
        <v>0</v>
      </c>
      <c r="N36" s="12">
        <f>SUMIF(TabelaUtilidadesPublicas[Classificação],"Telefones",TabelaUtilidadesPublicas[Dezembro])</f>
        <v>0</v>
      </c>
      <c r="O36" s="11">
        <f t="shared" si="3"/>
        <v>0</v>
      </c>
    </row>
    <row r="37" spans="1:15" s="1" customFormat="1" x14ac:dyDescent="0.25">
      <c r="A37" s="64" t="s">
        <v>64</v>
      </c>
      <c r="B37" s="8" t="s">
        <v>62</v>
      </c>
      <c r="C37" s="12">
        <f>SUMIF(TabelaLocacao[Classificação],"Diversas",TabelaLocacao[Janeiro])</f>
        <v>0</v>
      </c>
      <c r="D37" s="12">
        <f>SUMIF(TabelaLocacao[Classificação],"Diversas",TabelaLocacao[Fevereiro])</f>
        <v>0</v>
      </c>
      <c r="E37" s="12">
        <f>SUMIF(TabelaLocacao[Classificação],"Diversas",TabelaLocacao[Março])</f>
        <v>0</v>
      </c>
      <c r="F37" s="12">
        <f>SUMIF(TabelaLocacao[Classificação],"Diversas",TabelaLocacao[Abril])</f>
        <v>0</v>
      </c>
      <c r="G37" s="12">
        <f>SUMIF(TabelaLocacao[Classificação],"Diversas",TabelaLocacao[Maio])</f>
        <v>0</v>
      </c>
      <c r="H37" s="12">
        <f>SUMIF(TabelaLocacao[Classificação],"Diversas",TabelaLocacao[Junho])</f>
        <v>0</v>
      </c>
      <c r="I37" s="12">
        <f>SUMIF(TabelaLocacao[Classificação],"Diversas",TabelaLocacao[Julho])</f>
        <v>0</v>
      </c>
      <c r="J37" s="12">
        <f>SUMIF(TabelaLocacao[Classificação],"Diversas",TabelaLocacao[Agosto])</f>
        <v>0</v>
      </c>
      <c r="K37" s="12">
        <f>SUMIF(TabelaLocacao[Classificação],"Diversas",TabelaLocacao[Setembro])</f>
        <v>0</v>
      </c>
      <c r="L37" s="12">
        <f>SUMIF(TabelaLocacao[Classificação],"Diversas",TabelaLocacao[Outubro])</f>
        <v>0</v>
      </c>
      <c r="M37" s="12">
        <f>SUMIF(TabelaLocacao[Classificação],"Diversas",TabelaLocacao[Novembro])</f>
        <v>0</v>
      </c>
      <c r="N37" s="12">
        <f>SUMIF(TabelaLocacao[Classificação],"Diversas",TabelaLocacao[Dezembro])</f>
        <v>0</v>
      </c>
      <c r="O37" s="11">
        <f t="shared" si="3"/>
        <v>0</v>
      </c>
    </row>
    <row r="38" spans="1:15" s="1" customFormat="1" x14ac:dyDescent="0.25">
      <c r="A38" s="70"/>
      <c r="B38" s="8" t="s">
        <v>57</v>
      </c>
      <c r="C38" s="12">
        <f>SUMIF(TabelaLocacao[Classificação],"Equipamento de Informática",TabelaLocacao[Janeiro])</f>
        <v>0</v>
      </c>
      <c r="D38" s="12">
        <f>SUMIF(TabelaLocacao[Classificação],"Equipamento de Informática",TabelaLocacao[Fevereiro])</f>
        <v>0</v>
      </c>
      <c r="E38" s="12">
        <f>SUMIF(TabelaLocacao[Classificação],"Equipamento de Informática",TabelaLocacao[Março])</f>
        <v>0</v>
      </c>
      <c r="F38" s="12">
        <f>SUMIF(TabelaLocacao[Classificação],"Equipamento de Informática",TabelaLocacao[Abril])</f>
        <v>0</v>
      </c>
      <c r="G38" s="12">
        <f>SUMIF(TabelaLocacao[Classificação],"Equipamento de Informática",TabelaLocacao[Maio])</f>
        <v>0</v>
      </c>
      <c r="H38" s="12">
        <f>SUMIF(TabelaLocacao[Classificação],"Equipamento de Informática",TabelaLocacao[Junho])</f>
        <v>0</v>
      </c>
      <c r="I38" s="12">
        <f>SUMIF(TabelaLocacao[Classificação],"Equipamento de Informática",TabelaLocacao[Julho])</f>
        <v>0</v>
      </c>
      <c r="J38" s="12">
        <f>SUMIF(TabelaLocacao[Classificação],"Equipamento de Informática",TabelaLocacao[Agosto])</f>
        <v>0</v>
      </c>
      <c r="K38" s="12">
        <f>SUMIF(TabelaLocacao[Classificação],"Equipamento de Informática",TabelaLocacao[Setembro])</f>
        <v>0</v>
      </c>
      <c r="L38" s="12">
        <f>SUMIF(TabelaLocacao[Classificação],"Equipamento de Informática",TabelaLocacao[Outubro])</f>
        <v>0</v>
      </c>
      <c r="M38" s="12">
        <f>SUMIF(TabelaLocacao[Classificação],"Equipamento de Informática",TabelaLocacao[Novembro])</f>
        <v>0</v>
      </c>
      <c r="N38" s="12">
        <f>SUMIF(TabelaLocacao[Classificação],"Equipamento de Informática",TabelaLocacao[Dezembro])</f>
        <v>0</v>
      </c>
      <c r="O38" s="11">
        <f t="shared" si="3"/>
        <v>0</v>
      </c>
    </row>
    <row r="39" spans="1:15" s="1" customFormat="1" x14ac:dyDescent="0.25">
      <c r="A39" s="70"/>
      <c r="B39" s="8" t="s">
        <v>58</v>
      </c>
      <c r="C39" s="12">
        <f>SUMIF(TabelaLocacao[Classificação],"Equipamento Médico Hospitalar",TabelaLocacao[Janeiro])</f>
        <v>0</v>
      </c>
      <c r="D39" s="12">
        <f>SUMIF(TabelaLocacao[Classificação],"Equipamento Médico Hospitalar",TabelaLocacao[Fevereiro])</f>
        <v>0</v>
      </c>
      <c r="E39" s="12">
        <f>SUMIF(TabelaLocacao[Classificação],"Equipamento Médico Hospitalar",TabelaLocacao[Março])</f>
        <v>0</v>
      </c>
      <c r="F39" s="12">
        <f>SUMIF(TabelaLocacao[Classificação],"Equipamento Médico Hospitalar",TabelaLocacao[Abril])</f>
        <v>0</v>
      </c>
      <c r="G39" s="12">
        <f>SUMIF(TabelaLocacao[Classificação],"Equipamento Médico Hospitalar",TabelaLocacao[Maio])</f>
        <v>0</v>
      </c>
      <c r="H39" s="12">
        <f>SUMIF(TabelaLocacao[Classificação],"Equipamento Médico Hospitalar",TabelaLocacao[Junho])</f>
        <v>0</v>
      </c>
      <c r="I39" s="12">
        <f>SUMIF(TabelaLocacao[Classificação],"Equipamento Médico Hospitalar",TabelaLocacao[Julho])</f>
        <v>0</v>
      </c>
      <c r="J39" s="12">
        <f>SUMIF(TabelaLocacao[Classificação],"Equipamento Médico Hospitalar",TabelaLocacao[Agosto])</f>
        <v>0</v>
      </c>
      <c r="K39" s="12">
        <f>SUMIF(TabelaLocacao[Classificação],"Equipamento Médico Hospitalar",TabelaLocacao[Setembro])</f>
        <v>0</v>
      </c>
      <c r="L39" s="12">
        <f>SUMIF(TabelaLocacao[Classificação],"Equipamento Médico Hospitalar",TabelaLocacao[Outubro])</f>
        <v>0</v>
      </c>
      <c r="M39" s="12">
        <f>SUMIF(TabelaLocacao[Classificação],"Equipamento Médico Hospitalar",TabelaLocacao[Novembro])</f>
        <v>0</v>
      </c>
      <c r="N39" s="12">
        <f>SUMIF(TabelaLocacao[Classificação],"Equipamento Médico Hospitalar",TabelaLocacao[Dezembro])</f>
        <v>0</v>
      </c>
      <c r="O39" s="11">
        <f>SUM(C39:N39)</f>
        <v>0</v>
      </c>
    </row>
    <row r="40" spans="1:15" s="1" customFormat="1" x14ac:dyDescent="0.25">
      <c r="A40" s="65"/>
      <c r="B40" s="8" t="s">
        <v>63</v>
      </c>
      <c r="C40" s="12">
        <f>SUMIF(TabelaLocacao[Classificação],"Imóvel",TabelaLocacao[Janeiro])</f>
        <v>0</v>
      </c>
      <c r="D40" s="12">
        <f>SUMIF(TabelaLocacao[Classificação],"Imóvel",TabelaLocacao[Fevereiro])</f>
        <v>0</v>
      </c>
      <c r="E40" s="12">
        <f>SUMIF(TabelaLocacao[Classificação],"Imóvel",TabelaLocacao[Março])</f>
        <v>0</v>
      </c>
      <c r="F40" s="12">
        <f>SUMIF(TabelaLocacao[Classificação],"Imóvel",TabelaLocacao[Abril])</f>
        <v>0</v>
      </c>
      <c r="G40" s="12">
        <f>SUMIF(TabelaLocacao[Classificação],"Imóvel",TabelaLocacao[Maio])</f>
        <v>0</v>
      </c>
      <c r="H40" s="12">
        <f>SUMIF(TabelaLocacao[Classificação],"Imóvel",TabelaLocacao[Junho])</f>
        <v>0</v>
      </c>
      <c r="I40" s="12">
        <f>SUMIF(TabelaLocacao[Classificação],"Imóvel",TabelaLocacao[Julho])</f>
        <v>0</v>
      </c>
      <c r="J40" s="12">
        <f>SUMIF(TabelaLocacao[Classificação],"Imóvel",TabelaLocacao[Agosto])</f>
        <v>0</v>
      </c>
      <c r="K40" s="12">
        <f>SUMIF(TabelaLocacao[Classificação],"Imóvel",TabelaLocacao[Setembro])</f>
        <v>0</v>
      </c>
      <c r="L40" s="12">
        <f>SUMIF(TabelaLocacao[Classificação],"Imóvel",TabelaLocacao[Outubro])</f>
        <v>0</v>
      </c>
      <c r="M40" s="12">
        <f>SUMIF(TabelaLocacao[Classificação],"Imóvel",TabelaLocacao[Novembro])</f>
        <v>0</v>
      </c>
      <c r="N40" s="12">
        <f>SUMIF(TabelaLocacao[Classificação],"Imóvel",TabelaLocacao[Dezembro])</f>
        <v>0</v>
      </c>
      <c r="O40" s="11">
        <f t="shared" si="3"/>
        <v>0</v>
      </c>
    </row>
    <row r="41" spans="1:15" s="1" customFormat="1" x14ac:dyDescent="0.25">
      <c r="A41" s="29" t="s">
        <v>65</v>
      </c>
      <c r="B41" s="8" t="s">
        <v>65</v>
      </c>
      <c r="C41" s="12">
        <f>SUM(TabelaDiversos[Janeiro])</f>
        <v>0</v>
      </c>
      <c r="D41" s="12">
        <f>SUM(TabelaDiversos[Fevereiro])</f>
        <v>0</v>
      </c>
      <c r="E41" s="12">
        <f>SUM(TabelaDiversos[Março])</f>
        <v>0</v>
      </c>
      <c r="F41" s="12">
        <f>SUM(TabelaDiversos[Abril])</f>
        <v>0</v>
      </c>
      <c r="G41" s="12">
        <f>SUM(TabelaDiversos[Maio])</f>
        <v>0</v>
      </c>
      <c r="H41" s="12">
        <f>SUM(TabelaDiversos[Junho])</f>
        <v>0</v>
      </c>
      <c r="I41" s="12">
        <f>SUM(TabelaDiversos[Julho])</f>
        <v>0</v>
      </c>
      <c r="J41" s="12">
        <f>SUM(TabelaDiversos[Agosto])</f>
        <v>0</v>
      </c>
      <c r="K41" s="12">
        <f>SUM(TabelaDiversos[Setembro])</f>
        <v>0</v>
      </c>
      <c r="L41" s="12">
        <f>SUM(TabelaDiversos[Outubro])</f>
        <v>0</v>
      </c>
      <c r="M41" s="12">
        <f>SUM(TabelaDiversos[Novembro])</f>
        <v>0</v>
      </c>
      <c r="N41" s="12">
        <f>SUM(TabelaDiversos[Dezembro])</f>
        <v>0</v>
      </c>
      <c r="O41" s="11">
        <f t="shared" si="3"/>
        <v>0</v>
      </c>
    </row>
    <row r="42" spans="1:15" s="1" customFormat="1" x14ac:dyDescent="0.25">
      <c r="A42" s="64" t="s">
        <v>66</v>
      </c>
      <c r="B42" s="8" t="s">
        <v>71</v>
      </c>
      <c r="C42" s="12">
        <f>SUMIF(TabelaPermanentes[Classificação],"Bens e Equipamentos de Informática",TabelaPermanentes[Janeiro])</f>
        <v>0</v>
      </c>
      <c r="D42" s="12">
        <f>SUMIF(TabelaPermanentes[Classificação],"Bens e Equipamentos de Informática",TabelaPermanentes[Fevereiro])</f>
        <v>0</v>
      </c>
      <c r="E42" s="12">
        <f>SUMIF(TabelaPermanentes[Classificação],"Bens e Equipamentos de Informática",TabelaPermanentes[Março])</f>
        <v>0</v>
      </c>
      <c r="F42" s="12">
        <f>SUMIF(TabelaPermanentes[Classificação],"Bens e Equipamentos de Informática",TabelaPermanentes[Abril])</f>
        <v>0</v>
      </c>
      <c r="G42" s="12">
        <f>SUMIF(TabelaPermanentes[Classificação],"Bens e Equipamentos de Informática",TabelaPermanentes[Maio])</f>
        <v>0</v>
      </c>
      <c r="H42" s="12">
        <f>SUMIF(TabelaPermanentes[Classificação],"Bens e Equipamentos de Informática",TabelaPermanentes[Junho])</f>
        <v>0</v>
      </c>
      <c r="I42" s="12">
        <f>SUMIF(TabelaPermanentes[Classificação],"Bens e Equipamentos de Informática",TabelaPermanentes[Julho])</f>
        <v>0</v>
      </c>
      <c r="J42" s="12">
        <f>SUMIF(TabelaPermanentes[Classificação],"Bens e Equipamentos de Informática",TabelaPermanentes[Agosto])</f>
        <v>0</v>
      </c>
      <c r="K42" s="12">
        <f>SUMIF(TabelaPermanentes[Classificação],"Bens e Equipamentos de Informática",TabelaPermanentes[Setembro])</f>
        <v>0</v>
      </c>
      <c r="L42" s="12">
        <f>SUMIF(TabelaPermanentes[Classificação],"Bens e Equipamentos de Informática",TabelaPermanentes[Outubro])</f>
        <v>0</v>
      </c>
      <c r="M42" s="12">
        <f>SUMIF(TabelaPermanentes[Classificação],"Bens e Equipamentos de Informática",TabelaPermanentes[Novembro])</f>
        <v>0</v>
      </c>
      <c r="N42" s="12">
        <f>SUMIF(TabelaPermanentes[Classificação],"Bens e Equipamentos de Informática",TabelaPermanentes[Dezembro])</f>
        <v>0</v>
      </c>
      <c r="O42" s="11">
        <f t="shared" ref="O42:O44" si="4">SUM(C42:N42)</f>
        <v>0</v>
      </c>
    </row>
    <row r="43" spans="1:15" s="1" customFormat="1" x14ac:dyDescent="0.25">
      <c r="A43" s="70"/>
      <c r="B43" s="8" t="s">
        <v>72</v>
      </c>
      <c r="C43" s="12">
        <f>SUMIF(TabelaPermanentes[Classificação],"Bens e Equipamentos Hospitalares",TabelaPermanentes[Janeiro])</f>
        <v>0</v>
      </c>
      <c r="D43" s="12">
        <f>SUMIF(TabelaPermanentes[Classificação],"Bens e Equipamentos Hospitalares",TabelaPermanentes[Fevereiro])</f>
        <v>0</v>
      </c>
      <c r="E43" s="12">
        <f>SUMIF(TabelaPermanentes[Classificação],"Bens e Equipamentos Hospitalares",TabelaPermanentes[Março])</f>
        <v>0</v>
      </c>
      <c r="F43" s="12">
        <f>SUMIF(TabelaPermanentes[Classificação],"Bens e Equipamentos Hospitalares",TabelaPermanentes[Abril])</f>
        <v>0</v>
      </c>
      <c r="G43" s="12">
        <f>SUMIF(TabelaPermanentes[Classificação],"Bens e Equipamentos Hospitalares",TabelaPermanentes[Maio])</f>
        <v>0</v>
      </c>
      <c r="H43" s="12">
        <f>SUMIF(TabelaPermanentes[Classificação],"Bens e Equipamentos Hospitalares",TabelaPermanentes[Junho])</f>
        <v>0</v>
      </c>
      <c r="I43" s="12">
        <f>SUMIF(TabelaPermanentes[Classificação],"Bens e Equipamentos Hospitalares",TabelaPermanentes[Julho])</f>
        <v>0</v>
      </c>
      <c r="J43" s="12">
        <f>SUMIF(TabelaPermanentes[Classificação],"Bens e Equipamentos Hospitalares",TabelaPermanentes[Agosto])</f>
        <v>0</v>
      </c>
      <c r="K43" s="12">
        <f>SUMIF(TabelaPermanentes[Classificação],"Bens e Equipamentos Hospitalares",TabelaPermanentes[Setembro])</f>
        <v>0</v>
      </c>
      <c r="L43" s="12">
        <f>SUMIF(TabelaPermanentes[Classificação],"Bens e Equipamentos Hospitalares",TabelaPermanentes[Outubro])</f>
        <v>0</v>
      </c>
      <c r="M43" s="12">
        <f>SUMIF(TabelaPermanentes[Classificação],"Bens e Equipamentos Hospitalares",TabelaPermanentes[Novembro])</f>
        <v>0</v>
      </c>
      <c r="N43" s="12">
        <f>SUMIF(TabelaPermanentes[Classificação],"Bens e Equipamentos Hospitalares",TabelaPermanentes[Dezembro])</f>
        <v>0</v>
      </c>
      <c r="O43" s="11">
        <f t="shared" si="4"/>
        <v>0</v>
      </c>
    </row>
    <row r="44" spans="1:15" s="1" customFormat="1" x14ac:dyDescent="0.25">
      <c r="A44" s="65"/>
      <c r="B44" s="8" t="s">
        <v>37</v>
      </c>
      <c r="C44" s="12">
        <f>SUMIF(TabelaPermanentes[Classificação],"Outros Bens e Materiais Permanentes",TabelaPermanentes[Janeiro])</f>
        <v>0</v>
      </c>
      <c r="D44" s="12">
        <f>SUMIF(TabelaPermanentes[Classificação],"Outros Bens e Materiais Permanentes",TabelaPermanentes[Fevereiro])</f>
        <v>0</v>
      </c>
      <c r="E44" s="12">
        <f>SUMIF(TabelaPermanentes[Classificação],"Outros Bens e Materiais Permanentes",TabelaPermanentes[Março])</f>
        <v>0</v>
      </c>
      <c r="F44" s="12">
        <f>SUMIF(TabelaPermanentes[Classificação],"Outros Bens e Materiais Permanentes",TabelaPermanentes[Abril])</f>
        <v>0</v>
      </c>
      <c r="G44" s="12">
        <f>SUMIF(TabelaPermanentes[Classificação],"Outros Bens e Materiais Permanentes",TabelaPermanentes[Maio])</f>
        <v>0</v>
      </c>
      <c r="H44" s="12">
        <f>SUMIF(TabelaPermanentes[Classificação],"Outros Bens e Materiais Permanentes",TabelaPermanentes[Junho])</f>
        <v>0</v>
      </c>
      <c r="I44" s="12">
        <f>SUMIF(TabelaPermanentes[Classificação],"Outros Bens e Materiais Permanentes",TabelaPermanentes[Julho])</f>
        <v>0</v>
      </c>
      <c r="J44" s="12">
        <f>SUMIF(TabelaPermanentes[Classificação],"Outros Bens e Materiais Permanentes",TabelaPermanentes[Agosto])</f>
        <v>0</v>
      </c>
      <c r="K44" s="12">
        <f>SUMIF(TabelaPermanentes[Classificação],"Outros Bens e Materiais Permanentes",TabelaPermanentes[Setembro])</f>
        <v>0</v>
      </c>
      <c r="L44" s="12">
        <f>SUMIF(TabelaPermanentes[Classificação],"Outros Bens e Materiais Permanentes",TabelaPermanentes[Outubro])</f>
        <v>0</v>
      </c>
      <c r="M44" s="12">
        <f>SUMIF(TabelaPermanentes[Classificação],"Outros Bens e Materiais Permanentes",TabelaPermanentes[Novembro])</f>
        <v>0</v>
      </c>
      <c r="N44" s="12">
        <f>SUMIF(TabelaPermanentes[Classificação],"Outros Bens e Materiais Permanentes",TabelaPermanentes[Dezembro])</f>
        <v>0</v>
      </c>
      <c r="O44" s="11">
        <f t="shared" si="4"/>
        <v>0</v>
      </c>
    </row>
    <row r="45" spans="1:15" s="1" customFormat="1" x14ac:dyDescent="0.25">
      <c r="A45" s="64" t="s">
        <v>68</v>
      </c>
      <c r="B45" s="8" t="s">
        <v>67</v>
      </c>
      <c r="C45" s="12">
        <f>SUMIF(TabelaServicosMedicos[Classificação],"Serviços Médicos Pessoa Física",TabelaServicosMedicos[Janeiro])</f>
        <v>0</v>
      </c>
      <c r="D45" s="12">
        <f>SUMIF(TabelaServicosMedicos[Classificação],"Serviços Médicos Pessoa Física",TabelaServicosMedicos[Fevereiro])</f>
        <v>0</v>
      </c>
      <c r="E45" s="12">
        <f>SUMIF(TabelaServicosMedicos[Classificação],"Serviços Médicos Pessoa Física",TabelaServicosMedicos[Março])</f>
        <v>0</v>
      </c>
      <c r="F45" s="12">
        <f>SUMIF(TabelaServicosMedicos[Classificação],"Serviços Médicos Pessoa Física",TabelaServicosMedicos[Abril])</f>
        <v>0</v>
      </c>
      <c r="G45" s="12">
        <f>SUMIF(TabelaServicosMedicos[Classificação],"Serviços Médicos Pessoa Física",TabelaServicosMedicos[Maio])</f>
        <v>0</v>
      </c>
      <c r="H45" s="12">
        <f>SUMIF(TabelaServicosMedicos[Classificação],"Serviços Médicos Pessoa Física",TabelaServicosMedicos[Junho])</f>
        <v>0</v>
      </c>
      <c r="I45" s="12">
        <f>SUMIF(TabelaServicosMedicos[Classificação],"Serviços Médicos Pessoa Física",TabelaServicosMedicos[Julho])</f>
        <v>0</v>
      </c>
      <c r="J45" s="12">
        <f>SUMIF(TabelaServicosMedicos[Classificação],"Serviços Médicos Pessoa Física",TabelaServicosMedicos[Agosto])</f>
        <v>0</v>
      </c>
      <c r="K45" s="12">
        <f>SUMIF(TabelaServicosMedicos[Classificação],"Serviços Médicos Pessoa Física",TabelaServicosMedicos[Setembro])</f>
        <v>0</v>
      </c>
      <c r="L45" s="12">
        <f>SUMIF(TabelaServicosMedicos[Classificação],"Serviços Médicos Pessoa Física",TabelaServicosMedicos[Outubro])</f>
        <v>0</v>
      </c>
      <c r="M45" s="12">
        <f>SUMIF(TabelaServicosMedicos[Classificação],"Serviços Médicos Pessoa Física",TabelaServicosMedicos[Novembro])</f>
        <v>0</v>
      </c>
      <c r="N45" s="12">
        <f>SUMIF(TabelaServicosMedicos[Classificação],"Serviços Médicos Pessoa Física",TabelaServicosMedicos[Dezembro])</f>
        <v>0</v>
      </c>
      <c r="O45" s="11">
        <f t="shared" ref="O45:O47" si="5">SUM(C45:N45)</f>
        <v>0</v>
      </c>
    </row>
    <row r="46" spans="1:15" s="1" customFormat="1" x14ac:dyDescent="0.25">
      <c r="A46" s="65"/>
      <c r="B46" s="8" t="s">
        <v>38</v>
      </c>
      <c r="C46" s="12">
        <f>SUMIF(TabelaServicosMedicos[Classificação],"Serviços Médicos Pessoa Jurídica",TabelaServicosMedicos[Janeiro])</f>
        <v>0</v>
      </c>
      <c r="D46" s="12">
        <f>SUMIF(TabelaServicosMedicos[Classificação],"Serviços Médicos Pessoa Jurídica",TabelaServicosMedicos[Fevereiro])</f>
        <v>0</v>
      </c>
      <c r="E46" s="12">
        <f>SUMIF(TabelaServicosMedicos[Classificação],"Serviços Médicos Pessoa Jurídica",TabelaServicosMedicos[Março])</f>
        <v>0</v>
      </c>
      <c r="F46" s="12">
        <f>SUMIF(TabelaServicosMedicos[Classificação],"Serviços Médicos Pessoa Jurídica",TabelaServicosMedicos[Abril])</f>
        <v>0</v>
      </c>
      <c r="G46" s="12">
        <f>SUMIF(TabelaServicosMedicos[Classificação],"Serviços Médicos Pessoa Jurídica",TabelaServicosMedicos[Maio])</f>
        <v>0</v>
      </c>
      <c r="H46" s="12">
        <f>SUMIF(TabelaServicosMedicos[Classificação],"Serviços Médicos Pessoa Jurídica",TabelaServicosMedicos[Junho])</f>
        <v>0</v>
      </c>
      <c r="I46" s="12">
        <f>SUMIF(TabelaServicosMedicos[Classificação],"Serviços Médicos Pessoa Jurídica",TabelaServicosMedicos[Julho])</f>
        <v>0</v>
      </c>
      <c r="J46" s="12">
        <f>SUMIF(TabelaServicosMedicos[Classificação],"Serviços Médicos Pessoa Jurídica",TabelaServicosMedicos[Agosto])</f>
        <v>0</v>
      </c>
      <c r="K46" s="12">
        <f>SUMIF(TabelaServicosMedicos[Classificação],"Serviços Médicos Pessoa Jurídica",TabelaServicosMedicos[Setembro])</f>
        <v>0</v>
      </c>
      <c r="L46" s="12">
        <f>SUMIF(TabelaServicosMedicos[Classificação],"Serviços Médicos Pessoa Jurídica",TabelaServicosMedicos[Outubro])</f>
        <v>0</v>
      </c>
      <c r="M46" s="12">
        <f>SUMIF(TabelaServicosMedicos[Classificação],"Serviços Médicos Pessoa Jurídica",TabelaServicosMedicos[Novembro])</f>
        <v>0</v>
      </c>
      <c r="N46" s="12">
        <f>SUMIF(TabelaServicosMedicos[Classificação],"Serviços Médicos Pessoa Jurídica",TabelaServicosMedicos[Dezembro])</f>
        <v>0</v>
      </c>
      <c r="O46" s="11">
        <f t="shared" si="5"/>
        <v>0</v>
      </c>
    </row>
    <row r="47" spans="1:15" s="1" customFormat="1" x14ac:dyDescent="0.25">
      <c r="A47" s="29" t="s">
        <v>74</v>
      </c>
      <c r="B47" s="8" t="s">
        <v>39</v>
      </c>
      <c r="C47" s="12">
        <f>SUMIF(TabelaMaterialMedicoHospitalar[Classificação],"Material Médico e Hospitalar",TabelaMaterialMedicoHospitalar[Janeiro])</f>
        <v>0</v>
      </c>
      <c r="D47" s="12">
        <f>SUMIF(TabelaMaterialMedicoHospitalar[Classificação],"Material Médico e Hospitalar",TabelaMaterialMedicoHospitalar[Fevereiro])</f>
        <v>0</v>
      </c>
      <c r="E47" s="12">
        <f>SUMIF(TabelaMaterialMedicoHospitalar[Classificação],"Material Médico e Hospitalar",TabelaMaterialMedicoHospitalar[Março])</f>
        <v>0</v>
      </c>
      <c r="F47" s="12">
        <f>SUMIF(TabelaMaterialMedicoHospitalar[Classificação],"Material Médico e Hospitalar",TabelaMaterialMedicoHospitalar[Abril])</f>
        <v>0</v>
      </c>
      <c r="G47" s="12">
        <f>SUMIF(TabelaMaterialMedicoHospitalar[Classificação],"Material Médico e Hospitalar",TabelaMaterialMedicoHospitalar[Maio])</f>
        <v>0</v>
      </c>
      <c r="H47" s="12">
        <f>SUMIF(TabelaMaterialMedicoHospitalar[Classificação],"Material Médico e Hospitalar",TabelaMaterialMedicoHospitalar[Junho])</f>
        <v>0</v>
      </c>
      <c r="I47" s="12">
        <f>SUMIF(TabelaMaterialMedicoHospitalar[Classificação],"Material Médico e Hospitalar",TabelaMaterialMedicoHospitalar[Julho])</f>
        <v>0</v>
      </c>
      <c r="J47" s="12">
        <f>SUMIF(TabelaMaterialMedicoHospitalar[Classificação],"Material Médico e Hospitalar",TabelaMaterialMedicoHospitalar[Agosto])</f>
        <v>0</v>
      </c>
      <c r="K47" s="12">
        <f>SUMIF(TabelaMaterialMedicoHospitalar[Classificação],"Material Médico e Hospitalar",TabelaMaterialMedicoHospitalar[Setembro])</f>
        <v>0</v>
      </c>
      <c r="L47" s="12">
        <f>SUMIF(TabelaMaterialMedicoHospitalar[Classificação],"Material Médico e Hospitalar",TabelaMaterialMedicoHospitalar[Outubro])</f>
        <v>0</v>
      </c>
      <c r="M47" s="12">
        <f>SUMIF(TabelaMaterialMedicoHospitalar[Classificação],"Material Médico e Hospitalar",TabelaMaterialMedicoHospitalar[Novembro])</f>
        <v>0</v>
      </c>
      <c r="N47" s="12">
        <f>SUMIF(TabelaMaterialMedicoHospitalar[Classificação],"Material Médico e Hospitalar",TabelaMaterialMedicoHospitalar[Dezembro])</f>
        <v>0</v>
      </c>
      <c r="O47" s="11">
        <f t="shared" si="5"/>
        <v>0</v>
      </c>
    </row>
    <row r="48" spans="1:15" s="1" customFormat="1" x14ac:dyDescent="0.25">
      <c r="A48" s="28" t="s">
        <v>40</v>
      </c>
      <c r="B48" s="8" t="s">
        <v>40</v>
      </c>
      <c r="C48" s="12">
        <f>SUMIF(TabelaMedicamentos[Classificação],"Medicamentos",TabelaMedicamentos[Janeiro])</f>
        <v>0</v>
      </c>
      <c r="D48" s="12">
        <f>SUMIF(TabelaMedicamentos[Classificação],"Medicamentos",TabelaMedicamentos[Fevereiro])</f>
        <v>0</v>
      </c>
      <c r="E48" s="12">
        <f>SUMIF(TabelaMedicamentos[Classificação],"Medicamentos",TabelaMedicamentos[Março])</f>
        <v>0</v>
      </c>
      <c r="F48" s="12">
        <f>SUMIF(TabelaMedicamentos[Classificação],"Medicamentos",TabelaMedicamentos[Abril])</f>
        <v>0</v>
      </c>
      <c r="G48" s="12">
        <f>SUMIF(TabelaMedicamentos[Classificação],"Medicamentos",TabelaMedicamentos[Maio])</f>
        <v>0</v>
      </c>
      <c r="H48" s="12">
        <f>SUMIF(TabelaMedicamentos[Classificação],"Medicamentos",TabelaMedicamentos[Junho])</f>
        <v>0</v>
      </c>
      <c r="I48" s="12">
        <f>SUMIF(TabelaMedicamentos[Classificação],"Medicamentos",TabelaMedicamentos[Julho])</f>
        <v>0</v>
      </c>
      <c r="J48" s="12">
        <f>SUMIF(TabelaMedicamentos[Classificação],"Medicamentos",TabelaMedicamentos[Agosto])</f>
        <v>0</v>
      </c>
      <c r="K48" s="12">
        <f>SUMIF(TabelaMedicamentos[Classificação],"Medicamentos",TabelaMedicamentos[Setembro])</f>
        <v>0</v>
      </c>
      <c r="L48" s="12">
        <f>SUMIF(TabelaMedicamentos[Classificação],"Medicamentos",TabelaMedicamentos[Outubro])</f>
        <v>0</v>
      </c>
      <c r="M48" s="12">
        <f>SUMIF(TabelaMedicamentos[Classificação],"Medicamentos",TabelaMedicamentos[Novembro])</f>
        <v>0</v>
      </c>
      <c r="N48" s="12">
        <f>SUMIF(TabelaMedicamentos[Classificação],"Medicamentos",TabelaMedicamentos[Dezembro])</f>
        <v>0</v>
      </c>
      <c r="O48" s="11">
        <f>SUM(C48:N48)</f>
        <v>0</v>
      </c>
    </row>
    <row r="49" spans="1:15" ht="18" x14ac:dyDescent="0.25">
      <c r="A49" s="62"/>
      <c r="B49" s="63"/>
      <c r="C49" s="44">
        <f>SUM(TabelaTotal[Janeiro])</f>
        <v>0</v>
      </c>
      <c r="D49" s="44">
        <f>SUM(TabelaTotal[Fevereiro])</f>
        <v>0</v>
      </c>
      <c r="E49" s="44">
        <f>SUM(TabelaTotal[Março])</f>
        <v>0</v>
      </c>
      <c r="F49" s="44">
        <f>SUM(TabelaTotal[Abril])</f>
        <v>0</v>
      </c>
      <c r="G49" s="44">
        <f>SUM(TabelaTotal[Maio])</f>
        <v>0</v>
      </c>
      <c r="H49" s="44">
        <f>SUM(TabelaTotal[Junho])</f>
        <v>0</v>
      </c>
      <c r="I49" s="44">
        <f>SUM(TabelaTotal[Julho])</f>
        <v>0</v>
      </c>
      <c r="J49" s="44">
        <f>SUM(TabelaTotal[Agosto])</f>
        <v>0</v>
      </c>
      <c r="K49" s="44">
        <f>SUM(TabelaTotal[Setembro])</f>
        <v>0</v>
      </c>
      <c r="L49" s="44">
        <f>SUM(TabelaTotal[Outubro])</f>
        <v>0</v>
      </c>
      <c r="M49" s="44">
        <f>SUM(TabelaTotal[Novembro])</f>
        <v>0</v>
      </c>
      <c r="N49" s="44">
        <f>SUM(TabelaTotal[Dezembro])</f>
        <v>0</v>
      </c>
      <c r="O49" s="22">
        <f>SUM(O3:O48)</f>
        <v>0</v>
      </c>
    </row>
  </sheetData>
  <mergeCells count="9">
    <mergeCell ref="A49:B49"/>
    <mergeCell ref="A45:A46"/>
    <mergeCell ref="A3:A15"/>
    <mergeCell ref="A1:O1"/>
    <mergeCell ref="A17:A20"/>
    <mergeCell ref="A22:A32"/>
    <mergeCell ref="A33:A36"/>
    <mergeCell ref="A37:A40"/>
    <mergeCell ref="A42:A44"/>
  </mergeCells>
  <pageMargins left="0.25" right="0.25" top="0.75" bottom="0.75" header="0.3" footer="0.3"/>
  <pageSetup paperSize="9" scale="55" fitToHeight="0" orientation="landscape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23</vt:i4>
      </vt:variant>
    </vt:vector>
  </HeadingPairs>
  <TitlesOfParts>
    <vt:vector size="23" baseType="lpstr">
      <vt:lpstr>01 - Salario</vt:lpstr>
      <vt:lpstr>02 - VA</vt:lpstr>
      <vt:lpstr>03 - VR</vt:lpstr>
      <vt:lpstr>04 - VT</vt:lpstr>
      <vt:lpstr>05 - IRPF</vt:lpstr>
      <vt:lpstr>06 - INSS</vt:lpstr>
      <vt:lpstr>07 - FGTS</vt:lpstr>
      <vt:lpstr>08 - INSS Patronal</vt:lpstr>
      <vt:lpstr>09 - PIS</vt:lpstr>
      <vt:lpstr>10 - 13º Salário</vt:lpstr>
      <vt:lpstr>11 - Férias</vt:lpstr>
      <vt:lpstr>12 - Multa Rescisória FGTS</vt:lpstr>
      <vt:lpstr>13 - RH6</vt:lpstr>
      <vt:lpstr>14 - MC e GA</vt:lpstr>
      <vt:lpstr>15 - Serviço de Terceiros</vt:lpstr>
      <vt:lpstr>16 - Utilidades Públicas</vt:lpstr>
      <vt:lpstr>17 - Locação</vt:lpstr>
      <vt:lpstr>18 - Diversos</vt:lpstr>
      <vt:lpstr>19 - Permanentes</vt:lpstr>
      <vt:lpstr>20 -  Serviços Médicos</vt:lpstr>
      <vt:lpstr>21 - Material Médico e Hospitar</vt:lpstr>
      <vt:lpstr>22 - Medicamentos</vt:lpstr>
      <vt:lpstr>23 - 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Silveira Melo</dc:creator>
  <cp:lastModifiedBy>Bruno Silveira de Melo</cp:lastModifiedBy>
  <cp:lastPrinted>2023-10-31T16:57:11Z</cp:lastPrinted>
  <dcterms:created xsi:type="dcterms:W3CDTF">2023-06-30T13:39:47Z</dcterms:created>
  <dcterms:modified xsi:type="dcterms:W3CDTF">2023-11-16T12:42:38Z</dcterms:modified>
</cp:coreProperties>
</file>